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charts/chartEx1.xml" ContentType="application/vnd.ms-office.chartex+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InterfaithGreenBuilding_WS\"/>
    </mc:Choice>
  </mc:AlternateContent>
  <bookViews>
    <workbookView xWindow="0" yWindow="0" windowWidth="22068" windowHeight="9780" activeTab="1"/>
  </bookViews>
  <sheets>
    <sheet name="Workbook Overview" sheetId="19" r:id="rId1"/>
    <sheet name="Revenue Neutral Plan" sheetId="38" r:id="rId2"/>
    <sheet name="Externalities" sheetId="21" r:id="rId3"/>
    <sheet name="ExampleGasElectricBill" sheetId="2" r:id="rId4"/>
    <sheet name="Water To Be Saved" sheetId="9" r:id="rId5"/>
    <sheet name="ConversionFactors" sheetId="28" r:id="rId6"/>
    <sheet name="Colorado_Price_of_Natural_Gas" sheetId="29" r:id="rId7"/>
    <sheet name="MethaneLeakage" sheetId="32" r:id="rId8"/>
    <sheet name="PVWATTS" sheetId="36" r:id="rId9"/>
  </sheets>
  <definedNames>
    <definedName name="_xlchart.v1.0" hidden="1">Externalities!$F$16:$F$20</definedName>
    <definedName name="_xlchart.v1.1" hidden="1">Externalities!$H$16:$H$20</definedName>
    <definedName name="AnnualUtilityBill2015">ExampleGasElectricBill!$F$20</definedName>
    <definedName name="_xlnm.Print_Area" localSheetId="1">'Revenue Neutral Plan'!$A$1:$L$42</definedName>
    <definedName name="TestVariable" comment="This is the basic cost">#REF!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 i="38" l="1"/>
  <c r="E40" i="38" l="1"/>
  <c r="E39" i="38"/>
  <c r="E38" i="38"/>
  <c r="E37" i="38"/>
  <c r="E36" i="38"/>
  <c r="D7" i="38"/>
  <c r="L6" i="38"/>
  <c r="D21" i="38" s="1"/>
  <c r="D22" i="38" s="1"/>
  <c r="D23" i="38" s="1"/>
  <c r="D24" i="38" s="1"/>
  <c r="D25" i="38" s="1"/>
  <c r="D26" i="38" s="1"/>
  <c r="D27" i="38" s="1"/>
  <c r="D28" i="38" s="1"/>
  <c r="D29" i="38" s="1"/>
  <c r="D30" i="38" s="1"/>
  <c r="D31" i="38" s="1"/>
  <c r="D32" i="38" s="1"/>
  <c r="D33" i="38" s="1"/>
  <c r="D34" i="38" s="1"/>
  <c r="D35" i="38" s="1"/>
  <c r="D36" i="38" s="1"/>
  <c r="D37" i="38" s="1"/>
  <c r="I6" i="38"/>
  <c r="D10" i="38" s="1"/>
  <c r="D6" i="38"/>
  <c r="D8" i="38" s="1"/>
  <c r="D38" i="38" l="1"/>
  <c r="G37" i="38"/>
  <c r="K37" i="38" s="1"/>
  <c r="G36" i="38"/>
  <c r="K36" i="38" s="1"/>
  <c r="C21" i="38"/>
  <c r="D12" i="38"/>
  <c r="D11" i="38" s="1"/>
  <c r="E11" i="38" l="1"/>
  <c r="G2" i="38"/>
  <c r="C22" i="38"/>
  <c r="D15" i="38"/>
  <c r="E12" i="38"/>
  <c r="D14" i="38"/>
  <c r="D13" i="38" s="1"/>
  <c r="D39" i="38"/>
  <c r="G38" i="38"/>
  <c r="K38" i="38" s="1"/>
  <c r="C23" i="38" l="1"/>
  <c r="E35" i="38"/>
  <c r="G35" i="38" s="1"/>
  <c r="K35" i="38" s="1"/>
  <c r="E31" i="38"/>
  <c r="G31" i="38" s="1"/>
  <c r="K31" i="38" s="1"/>
  <c r="E27" i="38"/>
  <c r="G27" i="38" s="1"/>
  <c r="K27" i="38" s="1"/>
  <c r="E23" i="38"/>
  <c r="G23" i="38" s="1"/>
  <c r="K23" i="38" s="1"/>
  <c r="E34" i="38"/>
  <c r="G34" i="38" s="1"/>
  <c r="K34" i="38" s="1"/>
  <c r="E30" i="38"/>
  <c r="G30" i="38" s="1"/>
  <c r="K30" i="38" s="1"/>
  <c r="E26" i="38"/>
  <c r="G26" i="38" s="1"/>
  <c r="K26" i="38" s="1"/>
  <c r="E32" i="38"/>
  <c r="G32" i="38" s="1"/>
  <c r="K32" i="38" s="1"/>
  <c r="E25" i="38"/>
  <c r="G25" i="38" s="1"/>
  <c r="K25" i="38" s="1"/>
  <c r="E29" i="38"/>
  <c r="G29" i="38" s="1"/>
  <c r="K29" i="38" s="1"/>
  <c r="E28" i="38"/>
  <c r="G28" i="38" s="1"/>
  <c r="K28" i="38" s="1"/>
  <c r="E24" i="38"/>
  <c r="G24" i="38" s="1"/>
  <c r="K24" i="38" s="1"/>
  <c r="E21" i="38"/>
  <c r="E33" i="38"/>
  <c r="G33" i="38" s="1"/>
  <c r="K33" i="38" s="1"/>
  <c r="E22" i="38"/>
  <c r="G22" i="38" s="1"/>
  <c r="K22" i="38" s="1"/>
  <c r="D40" i="38"/>
  <c r="G40" i="38" s="1"/>
  <c r="K40" i="38" s="1"/>
  <c r="D41" i="38"/>
  <c r="G39" i="38"/>
  <c r="K39" i="38" s="1"/>
  <c r="G21" i="38" l="1"/>
  <c r="E41" i="38"/>
  <c r="F21" i="38"/>
  <c r="F22" i="38" s="1"/>
  <c r="F23" i="38" s="1"/>
  <c r="F24" i="38" s="1"/>
  <c r="F25" i="38" s="1"/>
  <c r="F26" i="38" s="1"/>
  <c r="F27" i="38" s="1"/>
  <c r="F28" i="38" s="1"/>
  <c r="F29" i="38" s="1"/>
  <c r="F30" i="38" s="1"/>
  <c r="F31" i="38" s="1"/>
  <c r="F32" i="38" s="1"/>
  <c r="F33" i="38" s="1"/>
  <c r="F34" i="38" s="1"/>
  <c r="F35" i="38" s="1"/>
  <c r="F36" i="38" s="1"/>
  <c r="F37" i="38" s="1"/>
  <c r="F38" i="38" s="1"/>
  <c r="F39" i="38" s="1"/>
  <c r="F40" i="38" s="1"/>
  <c r="I23" i="38"/>
  <c r="C24" i="38"/>
  <c r="I22" i="38"/>
  <c r="C25" i="38" l="1"/>
  <c r="I24" i="38"/>
  <c r="G41" i="38"/>
  <c r="D17" i="38" s="1"/>
  <c r="K21" i="38"/>
  <c r="H21" i="38"/>
  <c r="H22" i="38" s="1"/>
  <c r="H23" i="38" s="1"/>
  <c r="H24" i="38" s="1"/>
  <c r="H25" i="38" s="1"/>
  <c r="H26" i="38" s="1"/>
  <c r="H27" i="38" s="1"/>
  <c r="H28" i="38" s="1"/>
  <c r="H29" i="38" s="1"/>
  <c r="H30" i="38" s="1"/>
  <c r="H31" i="38" s="1"/>
  <c r="H32" i="38" s="1"/>
  <c r="H33" i="38" s="1"/>
  <c r="H34" i="38" s="1"/>
  <c r="H35" i="38" s="1"/>
  <c r="H36" i="38" s="1"/>
  <c r="H37" i="38" s="1"/>
  <c r="H38" i="38" s="1"/>
  <c r="H39" i="38" s="1"/>
  <c r="H40" i="38" s="1"/>
  <c r="I21" i="38"/>
  <c r="J21" i="38" l="1"/>
  <c r="J22" i="38" s="1"/>
  <c r="J23" i="38" s="1"/>
  <c r="J24" i="38" s="1"/>
  <c r="C26" i="38"/>
  <c r="I25" i="38"/>
  <c r="I26" i="38" l="1"/>
  <c r="C27" i="38"/>
  <c r="J25" i="38"/>
  <c r="J26" i="38" l="1"/>
  <c r="J27" i="38" s="1"/>
  <c r="I27" i="38"/>
  <c r="C28" i="38"/>
  <c r="C29" i="38" l="1"/>
  <c r="I28" i="38"/>
  <c r="J28" i="38"/>
  <c r="C30" i="38" l="1"/>
  <c r="I29" i="38"/>
  <c r="J29" i="38" s="1"/>
  <c r="I30" i="38" l="1"/>
  <c r="J30" i="38" s="1"/>
  <c r="C31" i="38"/>
  <c r="I31" i="38" l="1"/>
  <c r="J31" i="38" s="1"/>
  <c r="C32" i="38"/>
  <c r="C33" i="38" l="1"/>
  <c r="I32" i="38"/>
  <c r="J32" i="38" s="1"/>
  <c r="C34" i="38" l="1"/>
  <c r="I33" i="38"/>
  <c r="J33" i="38" s="1"/>
  <c r="I34" i="38" l="1"/>
  <c r="J34" i="38" s="1"/>
  <c r="C35" i="38"/>
  <c r="C36" i="38" l="1"/>
  <c r="I35" i="38"/>
  <c r="J35" i="38" s="1"/>
  <c r="N35" i="38" l="1"/>
  <c r="I36" i="38"/>
  <c r="J36" i="38" s="1"/>
  <c r="C37" i="38"/>
  <c r="I37" i="38" l="1"/>
  <c r="J37" i="38" s="1"/>
  <c r="C38" i="38"/>
  <c r="I38" i="38" l="1"/>
  <c r="J38" i="38" s="1"/>
  <c r="C39" i="38"/>
  <c r="C40" i="38" l="1"/>
  <c r="I39" i="38"/>
  <c r="J39" i="38" s="1"/>
  <c r="I40" i="38" l="1"/>
  <c r="I41" i="38" s="1"/>
  <c r="C41" i="38"/>
  <c r="D18" i="38" s="1"/>
  <c r="D19" i="38" s="1"/>
  <c r="J40" i="38" l="1"/>
  <c r="B132" i="21"/>
  <c r="B129" i="21"/>
  <c r="N27" i="2" l="1"/>
  <c r="O27" i="2"/>
  <c r="P27" i="2"/>
  <c r="M27" i="2"/>
  <c r="O5" i="2"/>
  <c r="O7" i="2" s="1"/>
  <c r="P5" i="2"/>
  <c r="P10" i="2" s="1"/>
  <c r="M5" i="2"/>
  <c r="M7" i="2" s="1"/>
  <c r="N5" i="2"/>
  <c r="N8" i="2" s="1"/>
  <c r="N11" i="2" l="1"/>
  <c r="N23" i="2"/>
  <c r="N7" i="2"/>
  <c r="N15" i="2"/>
  <c r="N19" i="2"/>
  <c r="O14" i="2"/>
  <c r="O10" i="2"/>
  <c r="O22" i="2"/>
  <c r="O18" i="2"/>
  <c r="M18" i="2"/>
  <c r="M10" i="2"/>
  <c r="M22" i="2"/>
  <c r="M14" i="2"/>
  <c r="N22" i="2"/>
  <c r="N18" i="2"/>
  <c r="N14" i="2"/>
  <c r="N10" i="2"/>
  <c r="O6" i="2"/>
  <c r="O21" i="2"/>
  <c r="O17" i="2"/>
  <c r="O13" i="2"/>
  <c r="O9" i="2"/>
  <c r="P24" i="2"/>
  <c r="P20" i="2"/>
  <c r="P16" i="2"/>
  <c r="P12" i="2"/>
  <c r="P8" i="2"/>
  <c r="M6" i="2"/>
  <c r="M21" i="2"/>
  <c r="M17" i="2"/>
  <c r="M13" i="2"/>
  <c r="M9" i="2"/>
  <c r="P6" i="2"/>
  <c r="P17" i="2"/>
  <c r="N6" i="2"/>
  <c r="N21" i="2"/>
  <c r="N17" i="2"/>
  <c r="N13" i="2"/>
  <c r="N9" i="2"/>
  <c r="O24" i="2"/>
  <c r="O20" i="2"/>
  <c r="O16" i="2"/>
  <c r="O12" i="2"/>
  <c r="O8" i="2"/>
  <c r="P23" i="2"/>
  <c r="P19" i="2"/>
  <c r="P15" i="2"/>
  <c r="P11" i="2"/>
  <c r="P7" i="2"/>
  <c r="M24" i="2"/>
  <c r="M20" i="2"/>
  <c r="M16" i="2"/>
  <c r="M12" i="2"/>
  <c r="M8" i="2"/>
  <c r="P21" i="2"/>
  <c r="P13" i="2"/>
  <c r="P9" i="2"/>
  <c r="N24" i="2"/>
  <c r="N20" i="2"/>
  <c r="N16" i="2"/>
  <c r="N12" i="2"/>
  <c r="O23" i="2"/>
  <c r="O19" i="2"/>
  <c r="O15" i="2"/>
  <c r="O11" i="2"/>
  <c r="P22" i="2"/>
  <c r="P18" i="2"/>
  <c r="P14" i="2"/>
  <c r="M23" i="2"/>
  <c r="M19" i="2"/>
  <c r="M15" i="2"/>
  <c r="M11" i="2"/>
  <c r="N25" i="2" l="1"/>
  <c r="M25" i="2"/>
  <c r="P28" i="2"/>
  <c r="O25" i="2"/>
  <c r="P25" i="2"/>
  <c r="P26" i="2" s="1"/>
  <c r="C40" i="21" l="1"/>
  <c r="H21" i="21"/>
  <c r="G21" i="21"/>
  <c r="L71" i="32" l="1"/>
  <c r="K71" i="32"/>
  <c r="M66" i="32"/>
  <c r="M65" i="32"/>
  <c r="M71" i="32" s="1"/>
  <c r="S64" i="32"/>
  <c r="A54" i="32"/>
  <c r="A53" i="32"/>
  <c r="A47" i="32"/>
  <c r="A48" i="32" s="1"/>
  <c r="C33" i="32"/>
  <c r="A27" i="32"/>
  <c r="U24" i="32"/>
  <c r="A19" i="32"/>
  <c r="A20" i="32" s="1"/>
  <c r="Z5" i="32"/>
  <c r="Y5" i="32"/>
  <c r="X5" i="32"/>
  <c r="W5" i="32"/>
  <c r="V5" i="32"/>
  <c r="C4" i="32"/>
  <c r="C5" i="32" s="1"/>
  <c r="C3" i="32"/>
  <c r="G53" i="29"/>
  <c r="F53" i="29"/>
  <c r="E53" i="29"/>
  <c r="E52" i="29" s="1"/>
  <c r="E51" i="29" s="1"/>
  <c r="E50" i="29" s="1"/>
  <c r="E49" i="29" s="1"/>
  <c r="E48" i="29" s="1"/>
  <c r="E47" i="29" s="1"/>
  <c r="E46" i="29" s="1"/>
  <c r="E45" i="29" s="1"/>
  <c r="E44" i="29" s="1"/>
  <c r="E43" i="29" s="1"/>
  <c r="E42" i="29" s="1"/>
  <c r="E41" i="29" s="1"/>
  <c r="E40" i="29" s="1"/>
  <c r="E39" i="29" s="1"/>
  <c r="E38" i="29" s="1"/>
  <c r="E37" i="29" s="1"/>
  <c r="E36" i="29" s="1"/>
  <c r="E35" i="29" s="1"/>
  <c r="E34" i="29" s="1"/>
  <c r="E33" i="29" s="1"/>
  <c r="E32" i="29" s="1"/>
  <c r="E31" i="29" s="1"/>
  <c r="E30" i="29" s="1"/>
  <c r="E29" i="29" s="1"/>
  <c r="E28" i="29" s="1"/>
  <c r="E27" i="29" s="1"/>
  <c r="E26" i="29" s="1"/>
  <c r="E25" i="29" s="1"/>
  <c r="E24" i="29" s="1"/>
  <c r="E23" i="29" s="1"/>
  <c r="E22" i="29" s="1"/>
  <c r="E21" i="29" s="1"/>
  <c r="E20" i="29" s="1"/>
  <c r="E19" i="29" s="1"/>
  <c r="E18" i="29" s="1"/>
  <c r="E17" i="29" s="1"/>
  <c r="E16" i="29" s="1"/>
  <c r="E15" i="29" s="1"/>
  <c r="E14" i="29" s="1"/>
  <c r="E13" i="29" s="1"/>
  <c r="E12" i="29" s="1"/>
  <c r="E11" i="29" s="1"/>
  <c r="E10" i="29" s="1"/>
  <c r="E9" i="29" s="1"/>
  <c r="E8" i="29" s="1"/>
  <c r="E7" i="29" s="1"/>
  <c r="E6" i="29" s="1"/>
  <c r="G52" i="29"/>
  <c r="F52" i="29"/>
  <c r="G51" i="29"/>
  <c r="F51" i="29"/>
  <c r="G50" i="29"/>
  <c r="F50" i="29"/>
  <c r="G49" i="29"/>
  <c r="F49" i="29"/>
  <c r="G48" i="29"/>
  <c r="F48" i="29"/>
  <c r="G47" i="29"/>
  <c r="F47" i="29"/>
  <c r="G46" i="29"/>
  <c r="F46" i="29"/>
  <c r="G45" i="29"/>
  <c r="F45" i="29"/>
  <c r="G44" i="29"/>
  <c r="F44" i="29"/>
  <c r="G43" i="29"/>
  <c r="F43" i="29"/>
  <c r="G42" i="29"/>
  <c r="F42" i="29"/>
  <c r="G41" i="29"/>
  <c r="F41" i="29"/>
  <c r="G40" i="29"/>
  <c r="F40" i="29"/>
  <c r="G39" i="29"/>
  <c r="F39" i="29"/>
  <c r="G38" i="29"/>
  <c r="F38" i="29"/>
  <c r="G37" i="29"/>
  <c r="F37" i="29"/>
  <c r="G36" i="29"/>
  <c r="F36" i="29"/>
  <c r="G35" i="29"/>
  <c r="F35" i="29"/>
  <c r="G34" i="29"/>
  <c r="F34" i="29"/>
  <c r="G33" i="29"/>
  <c r="F33" i="29"/>
  <c r="G32" i="29"/>
  <c r="F32" i="29"/>
  <c r="G31" i="29"/>
  <c r="F31" i="29"/>
  <c r="G30" i="29"/>
  <c r="F30" i="29"/>
  <c r="G29" i="29"/>
  <c r="F29" i="29"/>
  <c r="G28" i="29"/>
  <c r="F28" i="29"/>
  <c r="G27" i="29"/>
  <c r="F27" i="29"/>
  <c r="G26" i="29"/>
  <c r="F26" i="29"/>
  <c r="G25" i="29"/>
  <c r="F25" i="29"/>
  <c r="G24" i="29"/>
  <c r="F24" i="29"/>
  <c r="G23" i="29"/>
  <c r="F23" i="29"/>
  <c r="G22" i="29"/>
  <c r="F22" i="29"/>
  <c r="G21" i="29"/>
  <c r="F21" i="29"/>
  <c r="G20" i="29"/>
  <c r="F20" i="29"/>
  <c r="G19" i="29"/>
  <c r="F19" i="29"/>
  <c r="G18" i="29"/>
  <c r="F18" i="29"/>
  <c r="G17" i="29"/>
  <c r="F17" i="29"/>
  <c r="G16" i="29"/>
  <c r="F16" i="29"/>
  <c r="G15" i="29"/>
  <c r="F15" i="29"/>
  <c r="G14" i="29"/>
  <c r="F14" i="29"/>
  <c r="G13" i="29"/>
  <c r="F13" i="29"/>
  <c r="G12" i="29"/>
  <c r="F12" i="29"/>
  <c r="G11" i="29"/>
  <c r="F11" i="29"/>
  <c r="G10" i="29"/>
  <c r="F10" i="29"/>
  <c r="G9" i="29"/>
  <c r="F9" i="29"/>
  <c r="G8" i="29"/>
  <c r="F8" i="29"/>
  <c r="G7" i="29"/>
  <c r="F7" i="29"/>
  <c r="G6" i="29"/>
  <c r="F6" i="29"/>
  <c r="B16" i="9"/>
  <c r="B18" i="9" s="1"/>
  <c r="B8" i="9"/>
  <c r="B10" i="9" s="1"/>
  <c r="F21" i="2"/>
  <c r="E162" i="21"/>
  <c r="D162" i="21"/>
  <c r="C162" i="21"/>
  <c r="B162" i="21"/>
  <c r="B120" i="21"/>
  <c r="B121" i="21" s="1"/>
  <c r="B117" i="21"/>
  <c r="B105" i="21"/>
  <c r="B106" i="21" s="1"/>
  <c r="B109" i="21" s="1"/>
  <c r="B103" i="21"/>
  <c r="B93" i="21"/>
  <c r="B89" i="21"/>
  <c r="B91" i="21" s="1"/>
  <c r="G88" i="21"/>
  <c r="C72" i="21"/>
  <c r="C77" i="21" s="1"/>
  <c r="B50" i="21"/>
  <c r="C48" i="21"/>
  <c r="C49" i="21" s="1"/>
  <c r="C43" i="21"/>
  <c r="C45" i="21" s="1"/>
  <c r="C41" i="21"/>
  <c r="C25" i="21"/>
  <c r="B104" i="21" l="1"/>
  <c r="B108" i="21"/>
  <c r="B94" i="21"/>
  <c r="B28" i="21"/>
  <c r="C30" i="21" s="1"/>
  <c r="C31" i="21" s="1"/>
  <c r="C33" i="21" s="1"/>
  <c r="C21" i="9"/>
  <c r="B126" i="21"/>
  <c r="L16" i="32"/>
  <c r="L12" i="32"/>
  <c r="L17" i="32"/>
  <c r="L13" i="32"/>
  <c r="L9" i="32"/>
  <c r="L18" i="32"/>
  <c r="L14" i="32"/>
  <c r="L10" i="32"/>
  <c r="C6" i="32"/>
  <c r="L15" i="32"/>
  <c r="L11" i="32"/>
  <c r="L8" i="32"/>
  <c r="C30" i="32"/>
  <c r="C31" i="32" s="1"/>
  <c r="C73" i="21"/>
  <c r="C74" i="21" s="1"/>
  <c r="C75" i="21" s="1"/>
  <c r="C78" i="21" s="1"/>
  <c r="C50" i="21"/>
  <c r="C51" i="21" s="1"/>
  <c r="F121" i="21"/>
  <c r="G121" i="21" s="1"/>
  <c r="F122" i="21" s="1"/>
  <c r="B122" i="21"/>
  <c r="B95" i="21"/>
  <c r="C53" i="21"/>
  <c r="C44" i="21"/>
  <c r="C46" i="21" s="1"/>
  <c r="B124" i="21" l="1"/>
  <c r="B127" i="21"/>
  <c r="O11" i="32"/>
  <c r="P11" i="32" s="1"/>
  <c r="M11" i="32"/>
  <c r="N11" i="32" s="1"/>
  <c r="M14" i="32"/>
  <c r="N14" i="32" s="1"/>
  <c r="O14" i="32"/>
  <c r="P14" i="32" s="1"/>
  <c r="M17" i="32"/>
  <c r="N17" i="32" s="1"/>
  <c r="O17" i="32"/>
  <c r="P17" i="32" s="1"/>
  <c r="O15" i="32"/>
  <c r="P15" i="32" s="1"/>
  <c r="M15" i="32"/>
  <c r="N15" i="32" s="1"/>
  <c r="M18" i="32"/>
  <c r="N18" i="32" s="1"/>
  <c r="O18" i="32"/>
  <c r="P18" i="32" s="1"/>
  <c r="O12" i="32"/>
  <c r="P12" i="32" s="1"/>
  <c r="M12" i="32"/>
  <c r="N12" i="32" s="1"/>
  <c r="B8" i="32"/>
  <c r="C7" i="32"/>
  <c r="R8" i="32" s="1"/>
  <c r="M9" i="32"/>
  <c r="N9" i="32" s="1"/>
  <c r="O9" i="32"/>
  <c r="P9" i="32" s="1"/>
  <c r="O16" i="32"/>
  <c r="P16" i="32" s="1"/>
  <c r="M16" i="32"/>
  <c r="N16" i="32" s="1"/>
  <c r="O8" i="32"/>
  <c r="P8" i="32" s="1"/>
  <c r="M8" i="32"/>
  <c r="N8" i="32" s="1"/>
  <c r="M10" i="32"/>
  <c r="N10" i="32" s="1"/>
  <c r="O10" i="32"/>
  <c r="P10" i="32" s="1"/>
  <c r="M13" i="32"/>
  <c r="N13" i="32" s="1"/>
  <c r="O13" i="32"/>
  <c r="P13" i="32" s="1"/>
  <c r="C55" i="21"/>
  <c r="C54" i="21"/>
  <c r="B96" i="21"/>
  <c r="B98" i="21"/>
  <c r="B128" i="21"/>
  <c r="B130" i="21" s="1"/>
  <c r="Y13" i="32" l="1"/>
  <c r="U13" i="32"/>
  <c r="Q13" i="32"/>
  <c r="R13" i="32" s="1"/>
  <c r="X13" i="32"/>
  <c r="T13" i="32"/>
  <c r="W13" i="32"/>
  <c r="S13" i="32"/>
  <c r="Z13" i="32"/>
  <c r="V13" i="32"/>
  <c r="W11" i="32"/>
  <c r="S11" i="32"/>
  <c r="Z11" i="32"/>
  <c r="V11" i="32"/>
  <c r="Y11" i="32"/>
  <c r="U11" i="32"/>
  <c r="Q11" i="32"/>
  <c r="R11" i="32" s="1"/>
  <c r="X11" i="32"/>
  <c r="T11" i="32"/>
  <c r="X8" i="32"/>
  <c r="T8" i="32"/>
  <c r="W8" i="32"/>
  <c r="S8" i="32"/>
  <c r="Z8" i="32"/>
  <c r="V8" i="32"/>
  <c r="Y8" i="32"/>
  <c r="U8" i="32"/>
  <c r="X12" i="32"/>
  <c r="T12" i="32"/>
  <c r="W12" i="32"/>
  <c r="S12" i="32"/>
  <c r="Z12" i="32"/>
  <c r="V12" i="32"/>
  <c r="Y12" i="32"/>
  <c r="U12" i="32"/>
  <c r="Q12" i="32"/>
  <c r="R12" i="32" s="1"/>
  <c r="W15" i="32"/>
  <c r="S15" i="32"/>
  <c r="Z15" i="32"/>
  <c r="V15" i="32"/>
  <c r="Y15" i="32"/>
  <c r="U15" i="32"/>
  <c r="Q15" i="32"/>
  <c r="R15" i="32" s="1"/>
  <c r="X15" i="32"/>
  <c r="T15" i="32"/>
  <c r="Z14" i="32"/>
  <c r="V14" i="32"/>
  <c r="Y14" i="32"/>
  <c r="U14" i="32"/>
  <c r="Q14" i="32"/>
  <c r="R14" i="32" s="1"/>
  <c r="X14" i="32"/>
  <c r="T14" i="32"/>
  <c r="W14" i="32"/>
  <c r="S14" i="32"/>
  <c r="Z10" i="32"/>
  <c r="V10" i="32"/>
  <c r="Y10" i="32"/>
  <c r="U10" i="32"/>
  <c r="Q10" i="32"/>
  <c r="R10" i="32" s="1"/>
  <c r="X10" i="32"/>
  <c r="T10" i="32"/>
  <c r="W10" i="32"/>
  <c r="S10" i="32"/>
  <c r="X16" i="32"/>
  <c r="T16" i="32"/>
  <c r="W16" i="32"/>
  <c r="S16" i="32"/>
  <c r="Z16" i="32"/>
  <c r="V16" i="32"/>
  <c r="Y16" i="32"/>
  <c r="U16" i="32"/>
  <c r="Q16" i="32"/>
  <c r="R16" i="32" s="1"/>
  <c r="Z18" i="32"/>
  <c r="V18" i="32"/>
  <c r="Y18" i="32"/>
  <c r="U18" i="32"/>
  <c r="Q18" i="32"/>
  <c r="R18" i="32" s="1"/>
  <c r="X18" i="32"/>
  <c r="T18" i="32"/>
  <c r="W18" i="32"/>
  <c r="S18" i="32"/>
  <c r="Y9" i="32"/>
  <c r="U9" i="32"/>
  <c r="Q9" i="32"/>
  <c r="R9" i="32" s="1"/>
  <c r="X9" i="32"/>
  <c r="T9" i="32"/>
  <c r="W9" i="32"/>
  <c r="S9" i="32"/>
  <c r="Z9" i="32"/>
  <c r="V9" i="32"/>
  <c r="Y17" i="32"/>
  <c r="U17" i="32"/>
  <c r="Q17" i="32"/>
  <c r="R17" i="32" s="1"/>
  <c r="X17" i="32"/>
  <c r="T17" i="32"/>
  <c r="W17" i="32"/>
  <c r="S17" i="32"/>
  <c r="Z17" i="32"/>
  <c r="V17" i="32"/>
  <c r="B99" i="21"/>
  <c r="C65" i="21"/>
  <c r="C61" i="21"/>
  <c r="B111" i="21" s="1"/>
  <c r="C56" i="21"/>
  <c r="C59" i="21" s="1"/>
  <c r="C67" i="21" s="1"/>
  <c r="C60" i="21"/>
  <c r="C64" i="21" s="1"/>
  <c r="B112" i="21" l="1"/>
  <c r="N26" i="2" l="1"/>
  <c r="M28" i="2"/>
  <c r="N28" i="2"/>
  <c r="M26" i="2"/>
  <c r="O28" i="2"/>
  <c r="O26" i="2"/>
</calcChain>
</file>

<file path=xl/comments1.xml><?xml version="1.0" encoding="utf-8"?>
<comments xmlns="http://schemas.openxmlformats.org/spreadsheetml/2006/main">
  <authors>
    <author>Milt Hetrick</author>
  </authors>
  <commentList>
    <comment ref="B112" authorId="0" shapeId="0">
      <text>
        <r>
          <rPr>
            <b/>
            <sz val="9"/>
            <color indexed="81"/>
            <rFont val="Tahoma"/>
            <family val="2"/>
          </rPr>
          <t>Does NOT include cost of water consumed</t>
        </r>
        <r>
          <rPr>
            <sz val="9"/>
            <color indexed="81"/>
            <rFont val="Tahoma"/>
            <family val="2"/>
          </rPr>
          <t xml:space="preserve">
</t>
        </r>
      </text>
    </comment>
    <comment ref="B130" authorId="0" shapeId="0">
      <text>
        <r>
          <rPr>
            <b/>
            <sz val="9"/>
            <color indexed="81"/>
            <rFont val="Tahoma"/>
            <family val="2"/>
          </rPr>
          <t xml:space="preserve">Does NOT have the 4.5% escalation factor included.  Solar PV cost to generate energy is fixed </t>
        </r>
        <r>
          <rPr>
            <sz val="9"/>
            <color indexed="81"/>
            <rFont val="Tahoma"/>
            <family val="2"/>
          </rPr>
          <t xml:space="preserve">
</t>
        </r>
      </text>
    </comment>
  </commentList>
</comments>
</file>

<file path=xl/sharedStrings.xml><?xml version="1.0" encoding="utf-8"?>
<sst xmlns="http://schemas.openxmlformats.org/spreadsheetml/2006/main" count="426" uniqueCount="376">
  <si>
    <t>Invoice Date </t>
  </si>
  <si>
    <t>Gas Service Subtotal </t>
  </si>
  <si>
    <t>Electric Service Subtotal </t>
  </si>
  <si>
    <t>Total Taxes </t>
  </si>
  <si>
    <t>Gas &amp; Electric Total </t>
  </si>
  <si>
    <t>58.68 </t>
  </si>
  <si>
    <t>1,331.90 </t>
  </si>
  <si>
    <t>0.00 </t>
  </si>
  <si>
    <t>60.62 </t>
  </si>
  <si>
    <t>1,391.24 </t>
  </si>
  <si>
    <t>168.77 </t>
  </si>
  <si>
    <t>1,065.94 </t>
  </si>
  <si>
    <t>209.65 </t>
  </si>
  <si>
    <t>847.78 </t>
  </si>
  <si>
    <t>272.53 </t>
  </si>
  <si>
    <t>875.29 </t>
  </si>
  <si>
    <t>683.33 </t>
  </si>
  <si>
    <t>950.35 </t>
  </si>
  <si>
    <t>688.88 </t>
  </si>
  <si>
    <t>833.02 </t>
  </si>
  <si>
    <t>746.40 </t>
  </si>
  <si>
    <t>970.61 </t>
  </si>
  <si>
    <t>534.62 </t>
  </si>
  <si>
    <t>1,055.31 </t>
  </si>
  <si>
    <t>207.01 </t>
  </si>
  <si>
    <t>834.09 </t>
  </si>
  <si>
    <t>118.07 </t>
  </si>
  <si>
    <t>1,341.47 </t>
  </si>
  <si>
    <t>81.53 </t>
  </si>
  <si>
    <t>1,298.11 </t>
  </si>
  <si>
    <t>$0.00 </t>
  </si>
  <si>
    <t>1 btu =</t>
  </si>
  <si>
    <t>kilowatt hours</t>
  </si>
  <si>
    <t>kWh</t>
  </si>
  <si>
    <t>therms</t>
  </si>
  <si>
    <t>BTUs</t>
  </si>
  <si>
    <t>BTU</t>
  </si>
  <si>
    <t> 0.6 to 1.8 gallons of water for every million Btu </t>
  </si>
  <si>
    <t>.06 to .18 gallons for every 1/10 of a million btu  = 1 therm</t>
  </si>
  <si>
    <t>Also saw 3 gallons /million BTU</t>
  </si>
  <si>
    <t>1 BTU =</t>
  </si>
  <si>
    <t>watt hours</t>
  </si>
  <si>
    <t>1 THERM =</t>
  </si>
  <si>
    <t>Annual Cost</t>
  </si>
  <si>
    <t>Total</t>
  </si>
  <si>
    <t xml:space="preserve">1therm = </t>
  </si>
  <si>
    <t>metric tons CO2</t>
  </si>
  <si>
    <t>Electric</t>
  </si>
  <si>
    <t>Natural Gas</t>
  </si>
  <si>
    <t>Therms</t>
  </si>
  <si>
    <t>Interest</t>
  </si>
  <si>
    <t>TABLE OF CONTENTS</t>
  </si>
  <si>
    <t>.3 gallon for a therm</t>
  </si>
  <si>
    <t>NATURAL GAS PRODUCTION  -  WATER CONSUMPTION</t>
  </si>
  <si>
    <t>2 gallons / kWh</t>
  </si>
  <si>
    <t>ELECTRICAL POWER PRODUCTION  -  WATER CONSUMPTION</t>
  </si>
  <si>
    <t>(power used per year)</t>
  </si>
  <si>
    <t>gallons water consumed /year</t>
  </si>
  <si>
    <t>years of operation</t>
  </si>
  <si>
    <t>over 20 years of operation</t>
  </si>
  <si>
    <t>used per year</t>
  </si>
  <si>
    <t xml:space="preserve">gallons water consumed / year </t>
  </si>
  <si>
    <t>TOTAL WATER SAVED</t>
  </si>
  <si>
    <t>Gallons over 20 years</t>
  </si>
  <si>
    <t>Water To Be Saved</t>
  </si>
  <si>
    <t>BACKUP INFO</t>
  </si>
  <si>
    <t xml:space="preserve">    REPARATION COSTS</t>
  </si>
  <si>
    <t>Externalities associated with Electrical Power Generation</t>
  </si>
  <si>
    <t xml:space="preserve">    Coal Generated Electricity -  Externalites</t>
  </si>
  <si>
    <t>Paul R. Epstein, et. al., Harvard Medical Center for Health and the Global Environment</t>
  </si>
  <si>
    <r>
      <rPr>
        <i/>
        <sz val="14"/>
        <rFont val="Calibri"/>
        <family val="2"/>
        <scheme val="minor"/>
      </rPr>
      <t>REFERENCE:   "</t>
    </r>
    <r>
      <rPr>
        <b/>
        <i/>
        <sz val="14"/>
        <rFont val="Calibri"/>
        <family val="2"/>
        <scheme val="minor"/>
      </rPr>
      <t>Full cost accounting for the life cycle of coal"</t>
    </r>
    <r>
      <rPr>
        <i/>
        <sz val="14"/>
        <rFont val="Calibri"/>
        <family val="2"/>
        <scheme val="minor"/>
      </rPr>
      <t xml:space="preserve"> 
by</t>
    </r>
    <r>
      <rPr>
        <b/>
        <i/>
        <sz val="14"/>
        <rFont val="Calibri"/>
        <family val="2"/>
        <scheme val="minor"/>
      </rPr>
      <t xml:space="preserve">   
</t>
    </r>
    <r>
      <rPr>
        <i/>
        <sz val="14"/>
        <rFont val="Calibri"/>
        <family val="2"/>
        <scheme val="minor"/>
      </rPr>
      <t>Paul R. Epstein, Jonathan J. Buonocore, Kevin Eckerle, Michael Hendryx, Benjamin M. Stout III, Richard Heinberg, Richard W. Clapp, Beverly May, Nancy L. Reinhart, Melissa M. Ahern, Samir K. Doshi, and Leslie Glustrom, 
ANNALS OF THE NEW YORK ACADEMY OF SCIENCES  Issue: Ecological Economics Reviews</t>
    </r>
  </si>
  <si>
    <r>
      <t xml:space="preserve">"We estimate that the life cycle effects of coal and the waste stream generated are costing the U.S. public a </t>
    </r>
    <r>
      <rPr>
        <b/>
        <sz val="12"/>
        <rFont val="Calibri"/>
        <family val="2"/>
        <scheme val="minor"/>
      </rPr>
      <t>third to over one-half of a trillion dollars annually</t>
    </r>
    <r>
      <rPr>
        <sz val="12"/>
        <rFont val="Calibri"/>
        <family val="2"/>
        <scheme val="minor"/>
      </rPr>
      <t xml:space="preserve">.  Accounting for the damages conservatively </t>
    </r>
    <r>
      <rPr>
        <b/>
        <sz val="14"/>
        <rFont val="Calibri"/>
        <family val="2"/>
        <scheme val="minor"/>
      </rPr>
      <t>doubles to triples the price of electricity from coal per kWh</t>
    </r>
    <r>
      <rPr>
        <sz val="12"/>
        <rFont val="Calibri"/>
        <family val="2"/>
        <scheme val="minor"/>
      </rPr>
      <t xml:space="preserve"> generated, making wind, solar, and other forms of nonfossil fuel power generation, along with investments in efficiency and electricity conservation methods, economically competitive."</t>
    </r>
  </si>
  <si>
    <r>
      <t>"Life cycle analysis, examining all stages in using a resource, is central to the full cost accounting needed to guide public policy and private investment. " 
"In order to rigorously examine these different damage endpoints, we examined the many stages in the life cycle of coal, using a framework of environmental externalities, or “hidden costs.”    Externalities occur when the activity of one agent affects the well-being of another agent outside of any type of market mechanism—</t>
    </r>
    <r>
      <rPr>
        <b/>
        <sz val="14"/>
        <color theme="1"/>
        <rFont val="Calibri"/>
        <family val="2"/>
        <scheme val="minor"/>
      </rPr>
      <t xml:space="preserve">these are often not taken into account in decision making and when they are not accounted for, they can distort the decision-making process and reduce the welfare of society.    </t>
    </r>
    <r>
      <rPr>
        <sz val="12"/>
        <color theme="1"/>
        <rFont val="Calibri"/>
        <family val="2"/>
        <scheme val="minor"/>
      </rPr>
      <t xml:space="preserve">
</t>
    </r>
    <r>
      <rPr>
        <b/>
        <sz val="12"/>
        <color theme="1"/>
        <rFont val="Calibri"/>
        <family val="2"/>
        <scheme val="minor"/>
      </rPr>
      <t>This work strives to derive monetary values for these externalities so that they can be used to inform policy making."</t>
    </r>
  </si>
  <si>
    <r>
      <t>Our comprehensive review finds that the best estimate for the total economically quantifiable costs, based on a conservative weighting of many of the  study findings,..</t>
    </r>
    <r>
      <rPr>
        <b/>
        <sz val="14"/>
        <color theme="1"/>
        <rFont val="Calibri"/>
        <family val="2"/>
        <scheme val="minor"/>
      </rPr>
      <t>.to be close to 17.8¢  /kWh ...the upper bounds of electricity generated from coal could add close to 26.89¢ /kWh</t>
    </r>
    <r>
      <rPr>
        <sz val="12"/>
        <color theme="1"/>
        <rFont val="Calibri"/>
        <family val="2"/>
        <scheme val="minor"/>
      </rPr>
      <t>....These and the more difficult to quantify externalities are borne by the general public.</t>
    </r>
  </si>
  <si>
    <r>
      <t xml:space="preserve">     Natural Gas Generated Electricity -  Externalites (CO</t>
    </r>
    <r>
      <rPr>
        <b/>
        <vertAlign val="subscript"/>
        <sz val="14"/>
        <color theme="0"/>
        <rFont val="Calibri"/>
        <family val="2"/>
        <scheme val="minor"/>
      </rPr>
      <t>2</t>
    </r>
    <r>
      <rPr>
        <b/>
        <sz val="14"/>
        <color theme="0"/>
        <rFont val="Calibri"/>
        <family val="2"/>
        <scheme val="minor"/>
      </rPr>
      <t xml:space="preserve"> Production Only)</t>
    </r>
  </si>
  <si>
    <t>Here we can use another study to estimate the externality associated only with the climate change issue - the CO2 emissions created by a natural gas generating plant.   The cost of capturing and resequestering the CO2 is the main concern - for a natural gas generating plant, mercury, coal ash , etc are not in play.</t>
  </si>
  <si>
    <r>
      <t xml:space="preserve">Externalized costs associated with the use of fossil fuel in generating plants, we can use a report, "THE COST OF CARBON CAPTURE" by Jeremy David and Howard Herzog, Massachusetts Institute of Technology (MIT), Cambridge, MA.  "We found that carbon dioxide capture increases the busbar electricity cost (COE) from
 …..    </t>
    </r>
    <r>
      <rPr>
        <b/>
        <sz val="11"/>
        <rFont val="Calibri"/>
        <family val="2"/>
        <scheme val="minor"/>
      </rPr>
      <t>3.3 to 4.9 ¢/kWh at Natural Gas Combined Cycle (NGCC) plants</t>
    </r>
    <r>
      <rPr>
        <sz val="11"/>
        <rFont val="Calibri"/>
        <family val="2"/>
        <scheme val="minor"/>
      </rPr>
      <t>."</t>
    </r>
  </si>
  <si>
    <t>25.3% of the electrical power is generated using natural gas-fired generating plants.</t>
  </si>
  <si>
    <t>Total Electrical Annual Usage</t>
  </si>
  <si>
    <t>Billed Cost ($ / kWh)</t>
  </si>
  <si>
    <t>Coal Generated</t>
  </si>
  <si>
    <t>Externalities ($ / kWh)</t>
  </si>
  <si>
    <t>TRUE COST ($ / kWh)</t>
  </si>
  <si>
    <t>Natural Gas Generated</t>
  </si>
  <si>
    <t>Other</t>
  </si>
  <si>
    <t>TOTAL TRUE COST( ANNUAL )</t>
  </si>
  <si>
    <t>Billed Cost</t>
  </si>
  <si>
    <t>Years of Operation</t>
  </si>
  <si>
    <t xml:space="preserve">Escalation @ 4.5% / year, </t>
  </si>
  <si>
    <t xml:space="preserve">    Water Consumption</t>
  </si>
  <si>
    <t>NREL indicates there are about 2 gallons of water consumed for every kWh of electrical power produced.    By generating power using solar PV, this water would not be consumed but rather saved.</t>
  </si>
  <si>
    <t>Power generated  /consumed by First Universalist annually</t>
  </si>
  <si>
    <t>Gallons of water consumed annually</t>
  </si>
  <si>
    <t>Gallons of water consumed monthly</t>
  </si>
  <si>
    <t>Monthly water Cost</t>
  </si>
  <si>
    <t>Gallons of water consumed over 20 years - enough to maintain a living wall?</t>
  </si>
  <si>
    <t>20 Year Cost with 4.5% escalation</t>
  </si>
  <si>
    <t>Externalities associated with Natural Gas (Burning for Heating Purposes)</t>
  </si>
  <si>
    <t>AS IS - Natural Gas -  Externalites</t>
  </si>
  <si>
    <t>CO2 Production / Addition to the Atmosphere</t>
  </si>
  <si>
    <t>Amount of CO2 produced from burning natural gas</t>
  </si>
  <si>
    <t>Amount consumed annually</t>
  </si>
  <si>
    <t>CO2 per therm</t>
  </si>
  <si>
    <t>CO2</t>
  </si>
  <si>
    <t xml:space="preserve">Cost to capture &amp; sequester CO2 </t>
  </si>
  <si>
    <t>/tonne</t>
  </si>
  <si>
    <t>/year</t>
  </si>
  <si>
    <t>Operation</t>
  </si>
  <si>
    <t>years</t>
  </si>
  <si>
    <t xml:space="preserve">    Water Consumption   (Extraction/Fracking Process)</t>
  </si>
  <si>
    <t>Water consumed (extraction/transport) 0.3</t>
  </si>
  <si>
    <t>gallons/therm</t>
  </si>
  <si>
    <t>gallons/year</t>
  </si>
  <si>
    <t>gallons/month</t>
  </si>
  <si>
    <t>per month</t>
  </si>
  <si>
    <t>per year</t>
  </si>
  <si>
    <t>20 Year Operation</t>
  </si>
  <si>
    <t>gallons/ 20 years</t>
  </si>
  <si>
    <t>per 20 years</t>
  </si>
  <si>
    <t xml:space="preserve">    REPLACEMENT  COSTS (for finite energy extracted from Earth and consumed)</t>
  </si>
  <si>
    <t>/kWh</t>
  </si>
  <si>
    <r>
      <t xml:space="preserve">Table 4. </t>
    </r>
    <r>
      <rPr>
        <b/>
        <sz val="9"/>
        <color theme="1"/>
        <rFont val="Cambria"/>
        <family val="1"/>
      </rPr>
      <t>Total costs of coal normalized to kWh of electricity produced.</t>
    </r>
  </si>
  <si>
    <t>Monetized estimates from</t>
  </si>
  <si>
    <r>
      <t xml:space="preserve">Monetized life cycle assessment results literature in </t>
    </r>
    <r>
      <rPr>
        <sz val="9"/>
        <color theme="1"/>
        <rFont val="Myriad Pro"/>
        <family val="2"/>
      </rPr>
      <t>¢</t>
    </r>
    <r>
      <rPr>
        <sz val="9"/>
        <color theme="1"/>
        <rFont val="PMingLiU"/>
        <family val="1"/>
      </rPr>
      <t>/kWh of</t>
    </r>
  </si>
  <si>
    <r>
      <t xml:space="preserve">in </t>
    </r>
    <r>
      <rPr>
        <sz val="9"/>
        <color theme="1"/>
        <rFont val="Myriad Pro"/>
        <family val="2"/>
      </rPr>
      <t>¢</t>
    </r>
    <r>
      <rPr>
        <sz val="9"/>
        <color theme="1"/>
        <rFont val="PMingLiU"/>
        <family val="1"/>
      </rPr>
      <t>/kWh of electricity (2008 US$) electricity (2008 US$)</t>
    </r>
  </si>
  <si>
    <t>Low</t>
  </si>
  <si>
    <t>Best</t>
  </si>
  <si>
    <t>High</t>
  </si>
  <si>
    <t>IPCC 2007, U.S.</t>
  </si>
  <si>
    <t>Hard Coal</t>
  </si>
  <si>
    <t>Land disturbance</t>
  </si>
  <si>
    <t>EIA 2007</t>
  </si>
  <si>
    <t>AMLs</t>
  </si>
  <si>
    <t>Climate total</t>
  </si>
  <si>
    <t>Water Consumption Cost Table (Residential)</t>
  </si>
  <si>
    <t>1000 gals</t>
  </si>
  <si>
    <t>1-11</t>
  </si>
  <si>
    <t>12-30</t>
  </si>
  <si>
    <t>31-40</t>
  </si>
  <si>
    <t>Over 40</t>
  </si>
  <si>
    <t>Price per 1,000 / month</t>
  </si>
  <si>
    <t>Externalities</t>
  </si>
  <si>
    <t>(not included in Reparation Cost Total)</t>
  </si>
  <si>
    <t>Interest Rate</t>
  </si>
  <si>
    <t>What are Ccf, Mcf, Btu, and therms? How do I convert natural gas prices in dollars per Ccf or Mcf to dollars per Btu or therm?</t>
  </si>
  <si>
    <r>
      <t>C</t>
    </r>
    <r>
      <rPr>
        <sz val="9"/>
        <color rgb="FF333333"/>
        <rFont val="Arial"/>
        <family val="2"/>
      </rPr>
      <t>—equals one hundred (100)</t>
    </r>
  </si>
  <si>
    <r>
      <t>Ccf</t>
    </r>
    <r>
      <rPr>
        <sz val="9"/>
        <color rgb="FF333333"/>
        <rFont val="Arial"/>
        <family val="2"/>
      </rPr>
      <t>—equals the volume of 100 cubic feet (cf) of natural gas</t>
    </r>
  </si>
  <si>
    <r>
      <t>M</t>
    </r>
    <r>
      <rPr>
        <sz val="9"/>
        <color rgb="FF333333"/>
        <rFont val="Arial"/>
        <family val="2"/>
      </rPr>
      <t>—equals one thousand (1,000)</t>
    </r>
  </si>
  <si>
    <r>
      <t>MM</t>
    </r>
    <r>
      <rPr>
        <sz val="9"/>
        <color rgb="FF333333"/>
        <rFont val="Arial"/>
        <family val="2"/>
      </rPr>
      <t>—equals one million (1,000,000)</t>
    </r>
  </si>
  <si>
    <r>
      <t>Mcf</t>
    </r>
    <r>
      <rPr>
        <sz val="9"/>
        <color rgb="FF333333"/>
        <rFont val="Arial"/>
        <family val="2"/>
      </rPr>
      <t>—equals the volume of 1,000 cubic feet (cf) of natural gas</t>
    </r>
  </si>
  <si>
    <r>
      <t>MMBtu</t>
    </r>
    <r>
      <rPr>
        <sz val="9"/>
        <color rgb="FF333333"/>
        <rFont val="Arial"/>
        <family val="2"/>
      </rPr>
      <t>—equals 1,000,000 British thermal units (Btu)  (One Btu is the heat required to raise the temperature of one pound of water by one degree Fahrenheit.)</t>
    </r>
  </si>
  <si>
    <r>
      <t>Therm</t>
    </r>
    <r>
      <rPr>
        <sz val="9"/>
        <color rgb="FF333333"/>
        <rFont val="Arial"/>
        <family val="2"/>
      </rPr>
      <t>—One therm equals 100,000 Btu, or 0.10 MMBtu</t>
    </r>
  </si>
  <si>
    <t>In 2014 the average heat content of natural gas for the residential, commercial, and industrial sectors was about 1,028 Btu per cf; one Ccf = 102,800 Btu or 1.028 therms; one Mcf = 1.028 MMBtu or 10.28 therms.</t>
  </si>
  <si>
    <t>You can convert prices from one basis to another:</t>
  </si>
  <si>
    <t>$ per Ccf divided by 1.028 = $ per therm</t>
  </si>
  <si>
    <t>$ per therm multiplied by 1.028 = $ per Ccf</t>
  </si>
  <si>
    <t>$ per Mcf divided by 1.028 = $ per MMBtu</t>
  </si>
  <si>
    <t>$ per Mcf divided by 10.28 = $ per therm</t>
  </si>
  <si>
    <t>$ per MMBtu multiplied by 1.028 = $ per Mcf</t>
  </si>
  <si>
    <t>$ per therm multiplied by 10.28 = $ per Mcf</t>
  </si>
  <si>
    <t>d Price/d Year =</t>
  </si>
  <si>
    <t>dy/dx =</t>
  </si>
  <si>
    <t>Series ID: NG.N3020CO3.A Dollars per Thousand Cubic Feet</t>
  </si>
  <si>
    <t>Year</t>
  </si>
  <si>
    <t>Source: Energy Information Administration</t>
  </si>
  <si>
    <t>14:16:24 GMT-0600 (Mountain Daylight Time)</t>
  </si>
  <si>
    <t>http://www.eia.gov/beta/api/qb.cfm?sdid=NG.N3020CO3.A</t>
  </si>
  <si>
    <t>Colorado Price of Natural Gas Sold to Commercial Consumers Annual</t>
  </si>
  <si>
    <t>(Divide by 10 to get $/therm)</t>
  </si>
  <si>
    <t>y = 0.1765x + 0.0395</t>
  </si>
  <si>
    <t>= 17 cents per year?</t>
  </si>
  <si>
    <t>therms / year</t>
  </si>
  <si>
    <t>metric tons CO2 / year</t>
  </si>
  <si>
    <t>Note: this natural gas is currrently sold for $3,804  / year</t>
  </si>
  <si>
    <t>Cost to capture &amp; sequester CO2</t>
  </si>
  <si>
    <t xml:space="preserve">generated using renewable energy sources </t>
  </si>
  <si>
    <t>Total Annual Replacement Cost</t>
  </si>
  <si>
    <t>TOTAL TRUE COST (20 Years)</t>
  </si>
  <si>
    <t>Climate damage from combustion emissions of CO2 and N2O</t>
  </si>
  <si>
    <t>Excess cardiovascular disease from mercury emissions</t>
  </si>
  <si>
    <t>Methane emissions from mines</t>
  </si>
  <si>
    <t>Carcinogens (mostly to water from waste)</t>
  </si>
  <si>
    <t xml:space="preserve"> Public health burden of communities in Appalachia</t>
  </si>
  <si>
    <t>Fatalities in the public due to coal transport</t>
  </si>
  <si>
    <t>Emissions of air pollutants from combustion</t>
  </si>
  <si>
    <t xml:space="preserve"> Lost productivity from mercury emissions</t>
  </si>
  <si>
    <t>Excess mental retardation cases from mercury emissions</t>
  </si>
  <si>
    <t>Climate damages from combustion emissions of black carbon</t>
  </si>
  <si>
    <t>Environmental Law Institute estimate 2007</t>
  </si>
  <si>
    <t>Coal</t>
  </si>
  <si>
    <t>lbs</t>
  </si>
  <si>
    <r>
      <t>CO</t>
    </r>
    <r>
      <rPr>
        <vertAlign val="subscript"/>
        <sz val="12"/>
        <color theme="1"/>
        <rFont val="Calibri"/>
        <family val="2"/>
        <scheme val="minor"/>
      </rPr>
      <t>2 eq</t>
    </r>
    <r>
      <rPr>
        <sz val="12"/>
        <color theme="1"/>
        <rFont val="Calibri"/>
        <family val="2"/>
        <scheme val="minor"/>
      </rPr>
      <t xml:space="preserve"> produced by this scenario /year =</t>
    </r>
  </si>
  <si>
    <t>Annual Electrical Usage (bought from Xcel) as we do today</t>
  </si>
  <si>
    <t>Monthly Ave.</t>
  </si>
  <si>
    <t xml:space="preserve">Gas Service </t>
  </si>
  <si>
    <t xml:space="preserve">Electric Service </t>
  </si>
  <si>
    <t>kWH</t>
  </si>
  <si>
    <t>If we continue to buy energy from  Xcel Electric, as they currently generate it</t>
  </si>
  <si>
    <t>Story of Methane Leakage</t>
  </si>
  <si>
    <t>lbs of CO2</t>
  </si>
  <si>
    <t xml:space="preserve">Methane heat content is 1,012 Btu/scf methane.  Natural Gas is 1,030 Btu/cu ft </t>
  </si>
  <si>
    <t>Potency Factor</t>
  </si>
  <si>
    <t>lbs of CH4 leaked</t>
  </si>
  <si>
    <t>(100 year average)</t>
  </si>
  <si>
    <t>(20 year average)</t>
  </si>
  <si>
    <t xml:space="preserve">http://cdiac.esd.ornl.gov/pns/faq.html </t>
  </si>
  <si>
    <t>1 kWh</t>
  </si>
  <si>
    <t>but some leaks into atmosphere</t>
  </si>
  <si>
    <t>Q. How much carbon dioxide is produced from the combustion of 1000 cubic feet of natural gas?</t>
  </si>
  <si>
    <r>
      <t>A. </t>
    </r>
    <r>
      <rPr>
        <sz val="11"/>
        <color rgb="FF000000"/>
        <rFont val="Calibri"/>
        <family val="2"/>
        <scheme val="minor"/>
      </rPr>
      <t>If we start with 1000 cubic feet of natural gas (and assuming it is pure methane or CH</t>
    </r>
    <r>
      <rPr>
        <vertAlign val="subscript"/>
        <sz val="11"/>
        <color rgb="FF000000"/>
        <rFont val="Calibri"/>
        <family val="2"/>
        <scheme val="minor"/>
      </rPr>
      <t>4</t>
    </r>
    <r>
      <rPr>
        <sz val="11"/>
        <color rgb="FF000000"/>
        <rFont val="Calibri"/>
        <family val="2"/>
        <scheme val="minor"/>
      </rPr>
      <t>) at STP (standard temperature and pressure, i.e., temperature of 273°K = 0°C = 32°F and pressure of 1 atm = 14.7 psia = 760 torr), and burn it completely, here's what we come up with:</t>
    </r>
  </si>
  <si>
    <r>
      <t>1 cubic foot (cf) = 0.0283165 cubic meters (m</t>
    </r>
    <r>
      <rPr>
        <vertAlign val="superscript"/>
        <sz val="11"/>
        <color rgb="FF000000"/>
        <rFont val="Calibri"/>
        <family val="2"/>
        <scheme val="minor"/>
      </rPr>
      <t>3</t>
    </r>
    <r>
      <rPr>
        <sz val="11"/>
        <color rgb="FF000000"/>
        <rFont val="Calibri"/>
        <family val="2"/>
        <scheme val="minor"/>
      </rPr>
      <t>)</t>
    </r>
  </si>
  <si>
    <r>
      <t>and 1 m</t>
    </r>
    <r>
      <rPr>
        <vertAlign val="superscript"/>
        <sz val="11"/>
        <color rgb="FF000000"/>
        <rFont val="Calibri"/>
        <family val="2"/>
        <scheme val="minor"/>
      </rPr>
      <t>3</t>
    </r>
    <r>
      <rPr>
        <sz val="11"/>
        <color rgb="FF000000"/>
        <rFont val="Calibri"/>
        <family val="2"/>
        <scheme val="minor"/>
      </rPr>
      <t> = 1000 liters (L)</t>
    </r>
  </si>
  <si>
    <t>so 1 cf = 28.31685 L</t>
  </si>
  <si>
    <t>and 1000 cf = 28316.85 L</t>
  </si>
  <si>
    <r>
      <t>Since 1 mole of a gas occupies 22.4 L at STP, 28316.85 L of CH</t>
    </r>
    <r>
      <rPr>
        <vertAlign val="subscript"/>
        <sz val="11"/>
        <color rgb="FF000000"/>
        <rFont val="Calibri"/>
        <family val="2"/>
        <scheme val="minor"/>
      </rPr>
      <t>4</t>
    </r>
    <r>
      <rPr>
        <sz val="11"/>
        <color rgb="FF000000"/>
        <rFont val="Calibri"/>
        <family val="2"/>
        <scheme val="minor"/>
      </rPr>
      <t> contains 28316.85/22.4 = 1264.145 moles of CH</t>
    </r>
    <r>
      <rPr>
        <vertAlign val="subscript"/>
        <sz val="11"/>
        <color rgb="FF000000"/>
        <rFont val="Calibri"/>
        <family val="2"/>
        <scheme val="minor"/>
      </rPr>
      <t>4</t>
    </r>
    <r>
      <rPr>
        <sz val="11"/>
        <color rgb="FF000000"/>
        <rFont val="Calibri"/>
        <family val="2"/>
        <scheme val="minor"/>
      </rPr>
      <t> (each mole of CH</t>
    </r>
    <r>
      <rPr>
        <vertAlign val="subscript"/>
        <sz val="11"/>
        <color rgb="FF000000"/>
        <rFont val="Calibri"/>
        <family val="2"/>
        <scheme val="minor"/>
      </rPr>
      <t>4</t>
    </r>
    <r>
      <rPr>
        <sz val="11"/>
        <color rgb="FF000000"/>
        <rFont val="Calibri"/>
        <family val="2"/>
        <scheme val="minor"/>
      </rPr>
      <t> = approx. 16 g)</t>
    </r>
  </si>
  <si>
    <r>
      <t>If we burn CH</t>
    </r>
    <r>
      <rPr>
        <vertAlign val="subscript"/>
        <sz val="11"/>
        <color rgb="FF000000"/>
        <rFont val="Calibri"/>
        <family val="2"/>
        <scheme val="minor"/>
      </rPr>
      <t>4</t>
    </r>
    <r>
      <rPr>
        <sz val="11"/>
        <color rgb="FF000000"/>
        <rFont val="Calibri"/>
        <family val="2"/>
        <scheme val="minor"/>
      </rPr>
      <t> completely, it follows this equation:</t>
    </r>
  </si>
  <si>
    <r>
      <t>CH</t>
    </r>
    <r>
      <rPr>
        <vertAlign val="subscript"/>
        <sz val="11"/>
        <color rgb="FF000000"/>
        <rFont val="Calibri"/>
        <family val="2"/>
        <scheme val="minor"/>
      </rPr>
      <t>4</t>
    </r>
    <r>
      <rPr>
        <sz val="11"/>
        <color rgb="FF000000"/>
        <rFont val="Calibri"/>
        <family val="2"/>
        <scheme val="minor"/>
      </rPr>
      <t> + 2O</t>
    </r>
    <r>
      <rPr>
        <vertAlign val="subscript"/>
        <sz val="11"/>
        <color rgb="FF000000"/>
        <rFont val="Calibri"/>
        <family val="2"/>
        <scheme val="minor"/>
      </rPr>
      <t>2</t>
    </r>
    <r>
      <rPr>
        <sz val="11"/>
        <color rgb="FF000000"/>
        <rFont val="Calibri"/>
        <family val="2"/>
        <scheme val="minor"/>
      </rPr>
      <t> =&gt; CO</t>
    </r>
    <r>
      <rPr>
        <vertAlign val="subscript"/>
        <sz val="11"/>
        <color rgb="FF000000"/>
        <rFont val="Calibri"/>
        <family val="2"/>
        <scheme val="minor"/>
      </rPr>
      <t>2</t>
    </r>
    <r>
      <rPr>
        <sz val="11"/>
        <color rgb="FF000000"/>
        <rFont val="Calibri"/>
        <family val="2"/>
        <scheme val="minor"/>
      </rPr>
      <t> + 2H</t>
    </r>
    <r>
      <rPr>
        <vertAlign val="subscript"/>
        <sz val="11"/>
        <color rgb="FF000000"/>
        <rFont val="Calibri"/>
        <family val="2"/>
        <scheme val="minor"/>
      </rPr>
      <t>2</t>
    </r>
    <r>
      <rPr>
        <sz val="11"/>
        <color rgb="FF000000"/>
        <rFont val="Calibri"/>
        <family val="2"/>
        <scheme val="minor"/>
      </rPr>
      <t>0</t>
    </r>
  </si>
  <si>
    <t>That is, for each mole of methane we get one mole of carbon dioxide.</t>
  </si>
  <si>
    <r>
      <t>One mole of CO</t>
    </r>
    <r>
      <rPr>
        <vertAlign val="subscript"/>
        <sz val="11"/>
        <color rgb="FF000000"/>
        <rFont val="Calibri"/>
        <family val="2"/>
        <scheme val="minor"/>
      </rPr>
      <t>2</t>
    </r>
    <r>
      <rPr>
        <sz val="11"/>
        <color rgb="FF000000"/>
        <rFont val="Calibri"/>
        <family val="2"/>
        <scheme val="minor"/>
      </rPr>
      <t> has a mass of approx. 44 g, so 1264.145 moles of CO</t>
    </r>
    <r>
      <rPr>
        <vertAlign val="subscript"/>
        <sz val="11"/>
        <color rgb="FF000000"/>
        <rFont val="Calibri"/>
        <family val="2"/>
        <scheme val="minor"/>
      </rPr>
      <t>2</t>
    </r>
    <r>
      <rPr>
        <sz val="11"/>
        <color rgb="FF000000"/>
        <rFont val="Calibri"/>
        <family val="2"/>
        <scheme val="minor"/>
      </rPr>
      <t> has a mass of approx. 1264.145 x 44 or 55622.38 g</t>
    </r>
  </si>
  <si>
    <t>A pound is about equivalent to 454 g, so 55622.38 g is about equivalent to 55622.38/454 or 122 lb</t>
  </si>
  <si>
    <t>That is, the complete combustion of 1000 cubic feet at STP (44.6 lbs) of natural gas results in the production of about 122.5 lbs of carbon dioxide.</t>
  </si>
  <si>
    <r>
      <t>Of course, the mass of the methane in 1000 cubic feet will vary if the temperature and pressure are NOT as assumed above, and this will affect the mass of CO</t>
    </r>
    <r>
      <rPr>
        <vertAlign val="subscript"/>
        <sz val="11"/>
        <color rgb="FF000000"/>
        <rFont val="Calibri"/>
        <family val="2"/>
        <scheme val="minor"/>
      </rPr>
      <t>2</t>
    </r>
    <r>
      <rPr>
        <sz val="11"/>
        <color rgb="FF000000"/>
        <rFont val="Calibri"/>
        <family val="2"/>
        <scheme val="minor"/>
      </rPr>
      <t>produced. According to the Ideal Gas Law:</t>
    </r>
  </si>
  <si>
    <t>PV = nRT</t>
  </si>
  <si>
    <t>where   P = pressure</t>
  </si>
  <si>
    <t xml:space="preserve">        V = volume</t>
  </si>
  <si>
    <t xml:space="preserve">        n = moles of gas</t>
  </si>
  <si>
    <t xml:space="preserve">        T = temperature</t>
  </si>
  <si>
    <t xml:space="preserve">        R = constant (0.08206 L atm/mole K or 62.36 L torr/mole K)</t>
  </si>
  <si>
    <t>at STP, 1000 cf contains</t>
  </si>
  <si>
    <t>n = PV/RT moles of methane</t>
  </si>
  <si>
    <t xml:space="preserve">  = (1 atm)(28316.85 L)/(0.08206 L atm/mole K)(273°K)</t>
  </si>
  <si>
    <r>
      <t xml:space="preserve">  = 1264 moles CH</t>
    </r>
    <r>
      <rPr>
        <vertAlign val="subscript"/>
        <sz val="11"/>
        <color rgb="FF000000"/>
        <rFont val="Calibri"/>
        <family val="2"/>
        <scheme val="minor"/>
      </rPr>
      <t>4</t>
    </r>
    <r>
      <rPr>
        <sz val="11"/>
        <color rgb="FF000000"/>
        <rFont val="Calibri"/>
        <family val="2"/>
        <scheme val="minor"/>
      </rPr>
      <t xml:space="preserve"> (the value given in the example above)</t>
    </r>
  </si>
  <si>
    <t>In the energy industry, however, 1 standard cubic foot (scf) of natural gas is defined at 60°F (= 15.6°C = 288.6°K) and 14.7 psia, rather than at STP (Handbook of Formulae, Equations and Conversion Factors for the Energy Professional, JOB Publications, Tallahassee, FL;). Solving again at this higher (relative to STP) temperature, we get:</t>
  </si>
  <si>
    <t>n = (1 atm)(28316.85 L)/(0.08206 L atm/mole K)(288.6°K)</t>
  </si>
  <si>
    <r>
      <t xml:space="preserve">  = 1196 moles CH</t>
    </r>
    <r>
      <rPr>
        <vertAlign val="subscript"/>
        <sz val="11"/>
        <color rgb="FF000000"/>
        <rFont val="Calibri"/>
        <family val="2"/>
        <scheme val="minor"/>
      </rPr>
      <t>4</t>
    </r>
  </si>
  <si>
    <r>
      <t>That is, at the higher temperature, a given volume of gas will contain fewer moles, and less mass. Going again through the calculation for CO</t>
    </r>
    <r>
      <rPr>
        <vertAlign val="subscript"/>
        <sz val="11"/>
        <color rgb="FF000000"/>
        <rFont val="Calibri"/>
        <family val="2"/>
        <scheme val="minor"/>
      </rPr>
      <t>2</t>
    </r>
    <r>
      <rPr>
        <sz val="11"/>
        <color rgb="FF000000"/>
        <rFont val="Calibri"/>
        <family val="2"/>
        <scheme val="minor"/>
      </rPr>
      <t> emitted, but using the value of 1196 moles of CH</t>
    </r>
    <r>
      <rPr>
        <vertAlign val="subscript"/>
        <sz val="11"/>
        <color rgb="FF000000"/>
        <rFont val="Calibri"/>
        <family val="2"/>
        <scheme val="minor"/>
      </rPr>
      <t>4</t>
    </r>
    <r>
      <rPr>
        <sz val="11"/>
        <color rgb="FF000000"/>
        <rFont val="Calibri"/>
        <family val="2"/>
        <scheme val="minor"/>
      </rPr>
      <t>, results in an answer of approximately 115 lb of carbon dioxide. [RMC]</t>
    </r>
  </si>
  <si>
    <t>Xcel Energy Mix</t>
  </si>
  <si>
    <r>
      <t>CO</t>
    </r>
    <r>
      <rPr>
        <vertAlign val="subscript"/>
        <sz val="11"/>
        <color theme="1"/>
        <rFont val="Calibri"/>
        <family val="2"/>
        <scheme val="minor"/>
      </rPr>
      <t>2</t>
    </r>
    <r>
      <rPr>
        <sz val="11"/>
        <color theme="1"/>
        <rFont val="Calibri"/>
        <family val="2"/>
        <scheme val="minor"/>
      </rPr>
      <t xml:space="preserve"> /kWh</t>
    </r>
  </si>
  <si>
    <t>leakage would be breakeven point with gasoline</t>
  </si>
  <si>
    <t>Gas</t>
  </si>
  <si>
    <t>Wind</t>
  </si>
  <si>
    <t>Hydro</t>
  </si>
  <si>
    <t>Solar</t>
  </si>
  <si>
    <t xml:space="preserve">other </t>
  </si>
  <si>
    <t>from Xcel Energy Mix</t>
  </si>
  <si>
    <t>additional CO2 can be allocated to natural gas leakage to break even</t>
  </si>
  <si>
    <t>actual CH4 mass</t>
  </si>
  <si>
    <t>If we include leakage, that can be a game changer.</t>
  </si>
  <si>
    <t>We need to understand what is involved with 5196 therms of natural gas.    Natural gas is predominately methane so we will consider it as such.</t>
  </si>
  <si>
    <r>
      <t xml:space="preserve">We know that 1 million (10^6) BTU of methane produces 117 lbs of CO2 according to EIA
We know that 1000 cubic feet of natural gas produces 115 lbs of CO2
We know there are about 1,030 BTU / cubic feet of natural gas
</t>
    </r>
    <r>
      <rPr>
        <b/>
        <sz val="11"/>
        <color theme="1"/>
        <rFont val="Calibri"/>
        <family val="2"/>
        <scheme val="minor"/>
      </rPr>
      <t>We know that 1000 standard cubic feet (@60 deg F) of methane weighs about 42.1 lbs and when burned it produces 115 lbs of CO2</t>
    </r>
  </si>
  <si>
    <t>cubic feet of natural gas</t>
  </si>
  <si>
    <t>lbs of methane</t>
  </si>
  <si>
    <r>
      <t>lbs CO</t>
    </r>
    <r>
      <rPr>
        <vertAlign val="subscript"/>
        <sz val="11"/>
        <color theme="1"/>
        <rFont val="Calibri"/>
        <family val="2"/>
        <scheme val="minor"/>
      </rPr>
      <t>2</t>
    </r>
  </si>
  <si>
    <t>metric tonnes of CO2</t>
  </si>
  <si>
    <t>Equivalent lbs of CO2</t>
  </si>
  <si>
    <t>Equivalent metric tonnes of CO2</t>
  </si>
  <si>
    <t>Add on the carbon tax for 5196 therms plus leakage.  $Start with 15/ton and add $10 each year</t>
  </si>
  <si>
    <r>
      <rPr>
        <b/>
        <sz val="14"/>
        <rFont val="Calibri"/>
        <family val="2"/>
        <scheme val="minor"/>
      </rPr>
      <t xml:space="preserve">Externalities are ignored or hidden costs.     In the energy sector our current economic system allows utility companies to hide/ignore specific costs that are so numerous it is hard to even identify and list them.    In the detailed study by Epstein et.al. cited below there are a dozen ignored cost that are identified  and monetized specifically for coal-generated electricity:   </t>
    </r>
    <r>
      <rPr>
        <sz val="12"/>
        <rFont val="Calibri"/>
        <family val="2"/>
        <scheme val="minor"/>
      </rPr>
      <t xml:space="preserve">
• Land disturbance
• Methane emissions from mines
• Carcinogens (mostly to water from waste) 
• Public health burden of communities in Appalachia
• Fatalities in the public due to coal transport
• Emissions of air pollutants from combustion
• Lost productivity from mercury emissions
• Excess mental retardation cases from mercury emissions
• Excess cardiovascular disease from mercury emissions
• Climate damage from combustion emissions of CO2 and N2O
• Climate damages from combustion emissions of black carbon</t>
    </r>
  </si>
  <si>
    <t>IGNORED COSTS 
(EXTERNALITES)
(20 Years Period)</t>
  </si>
  <si>
    <t xml:space="preserve">Using the results of Epstein, et. al. at the Harvard Medical Center, we learn that externalities add from $0.18 to $0.27 / kWh to the cost electrical power generated by coal </t>
  </si>
  <si>
    <t>So the total commerical rate with externalities internalized would increase from $0.17 to between $0.35 and $0.44 / kWh   (two to nearly three times more than currently billed by Xcel)</t>
  </si>
  <si>
    <t>Residential rates are around $0.11 /kWh;  Commercial rates are around $0.17 /kWh.</t>
  </si>
  <si>
    <t xml:space="preserve"> lbs / kWh</t>
  </si>
  <si>
    <t>multiplier</t>
  </si>
  <si>
    <t>http://www.eia.gov/environment/emissions/co2_vol_mass.cfm</t>
  </si>
  <si>
    <t>CO2 Equivalent with Leakage</t>
  </si>
  <si>
    <t>Leakage</t>
  </si>
  <si>
    <t>Muliplier</t>
  </si>
  <si>
    <t>See cell "B23" to input different value</t>
  </si>
  <si>
    <t>Externality - no leakage</t>
  </si>
  <si>
    <t>Externality - with leakage</t>
  </si>
  <si>
    <t>CO2 produced using natural gas (tonnes)</t>
  </si>
  <si>
    <t xml:space="preserve">No escalation due to inflation, etc. </t>
  </si>
  <si>
    <t xml:space="preserve">NOTE:   Our current economic system is broken.    It allows many types of producers (including 'for-profit' Utility Corporations) to ignore / externalize the costs of their products in their market price.    As a result the free market is not properly informed of the true cost /total cost of that product.
But today we know better.     And we must choose.   
We can continue to steal Earth's finite resources from our children and future generations  OR we can pay our own way through life and practice sustainable living.   Attempting to identify &amp; internalize "externalities" is good place to start.   Then we can see clearly what the sustainable choices really are.     </t>
  </si>
  <si>
    <t>metric tonnes / year</t>
  </si>
  <si>
    <t>metric tonnes over this time frame</t>
  </si>
  <si>
    <t xml:space="preserve">TOTAL REPARATION COSTS
</t>
  </si>
  <si>
    <t xml:space="preserve">(20 years) </t>
  </si>
  <si>
    <t xml:space="preserve">(Annual) </t>
  </si>
  <si>
    <t>ConversionFactors</t>
  </si>
  <si>
    <t>MethaneLeakage</t>
  </si>
  <si>
    <t>Colorado_Price_of_Natural_Gas</t>
  </si>
  <si>
    <t>PVWATTS</t>
  </si>
  <si>
    <t xml:space="preserve">For this exercise, we will only consider two externalities:   1) Burning natural gas in a furnace results in the production of CO2.    This CO2 is vented/dumped into the atmosphere.   
2)  The drilling/fracking/collection/transportation of natural gas results in leakage of methane into the atmosphere.   Methane has a GWP of 86 averaged over 20 years compared to CO2.   Although leakage rates have been measured in actual gas producing fields to be 6% - 17%,   the oil and gas industry often self-reports a level of 3% leakage to the EPA.  That's what we will use for illustration.  </t>
  </si>
  <si>
    <t>metric tons CO2 / year   with methane leakage</t>
  </si>
  <si>
    <t>REFERENCES:</t>
  </si>
  <si>
    <t>GeoPower, by Donal Blaise Lloyd</t>
  </si>
  <si>
    <t>The Smart Guide to Geothermal: How to Harvest Earth's Free Energy for Heating and Cooling, by Donal Blaise Lloyd</t>
  </si>
  <si>
    <t>Residential Geothermal Systems, by John Stojanowski</t>
  </si>
  <si>
    <t>Make Solar andGeothermalWork for You, by Simon Marlow</t>
  </si>
  <si>
    <t>Flat Roof 10 degree</t>
  </si>
  <si>
    <t>South Wall 90 degree tilt</t>
  </si>
  <si>
    <r>
      <rPr>
        <b/>
        <sz val="14"/>
        <rFont val="Calibri"/>
        <family val="2"/>
        <scheme val="minor"/>
      </rPr>
      <t>Continuing to burn one-time-only ancient hydrocarbons to generate thermal energy has two major unsustainable ramifications:</t>
    </r>
    <r>
      <rPr>
        <sz val="12"/>
        <rFont val="Calibri"/>
        <family val="2"/>
        <scheme val="minor"/>
      </rPr>
      <t xml:space="preserve">
        1)   The combustion products are doing harm to all Life on the Planet 
        2)   The continued consumption of these ancient hydrocarbons is depleting the finite reserves - and we are not replacing these this stored energy for future generations.
</t>
    </r>
    <r>
      <rPr>
        <b/>
        <sz val="12"/>
        <rFont val="Calibri"/>
        <family val="2"/>
        <scheme val="minor"/>
      </rPr>
      <t xml:space="preserve">
</t>
    </r>
    <r>
      <rPr>
        <b/>
        <sz val="14"/>
        <color rgb="FFC00000"/>
        <rFont val="Calibri"/>
        <family val="2"/>
        <scheme val="minor"/>
      </rPr>
      <t>Item #1  Reparation Costs.</t>
    </r>
    <r>
      <rPr>
        <b/>
        <sz val="14"/>
        <color theme="9" tint="-0.499984740745262"/>
        <rFont val="Calibri"/>
        <family val="2"/>
        <scheme val="minor"/>
      </rPr>
      <t xml:space="preserve">  </t>
    </r>
    <r>
      <rPr>
        <b/>
        <sz val="14"/>
        <rFont val="Calibri"/>
        <family val="2"/>
        <scheme val="minor"/>
      </rPr>
      <t xml:space="preserve">When we realize we are doing (or have done) harm, as responsible adults, we stop that behavior and make amends.   </t>
    </r>
    <r>
      <rPr>
        <b/>
        <sz val="12"/>
        <rFont val="Calibri"/>
        <family val="2"/>
        <scheme val="minor"/>
      </rPr>
      <t xml:space="preserve"> 
</t>
    </r>
    <r>
      <rPr>
        <b/>
        <sz val="14"/>
        <rFont val="Calibri"/>
        <family val="2"/>
        <scheme val="minor"/>
      </rPr>
      <t xml:space="preserve">Studies are emerging, such as "Full cost accounting for the life cycle of coal" by Paul R. Epstein, et.al. that begin to estimating the monetary cost to repair the damage our fossil fuel (e.g. coal) burning behavior is causing.  We refer to this as the Reparation Cost.   Because over 50% of the electrical power used at First Universalist is generated by burning coal, the Epstein study can help estimate the monetary cost of the harm we at First Universalist are currently doing.  
</t>
    </r>
    <r>
      <rPr>
        <b/>
        <sz val="14"/>
        <color rgb="FFC00000"/>
        <rFont val="Calibri"/>
        <family val="2"/>
        <scheme val="minor"/>
      </rPr>
      <t>Item #2 Replacement Costs.</t>
    </r>
    <r>
      <rPr>
        <b/>
        <sz val="14"/>
        <rFont val="Calibri"/>
        <family val="2"/>
        <scheme val="minor"/>
      </rPr>
      <t xml:space="preserve">  Currently 93% of the energy we use to operate our church is withdrawn from the Earth's finite energy account in the form of dwindling reserves of ancient hydrocarbons.   In effect, for the past century we humans have reverted to suckling infants feeding off our mother Earth, rather that living as responsible adults honorably, sustainably harvesting the energy we need for the life style we prefer.  It is time to make amends and either replace the one-time-use energy (make deposits into  the Earth's energy account) or at least pay the Replacement Cost to future generations.  </t>
    </r>
  </si>
  <si>
    <t>1 kW  @ 20 degrees</t>
  </si>
  <si>
    <t>kWh / year</t>
  </si>
  <si>
    <t>Member Loan
Servicing</t>
  </si>
  <si>
    <t>New Operating
Cost</t>
  </si>
  <si>
    <t>Total Loan Payments</t>
  </si>
  <si>
    <t>Cum Utility Cost</t>
  </si>
  <si>
    <t>Annualized Equipment Replacement Cost</t>
  </si>
  <si>
    <t>/year (Ref: Miller &amp; Dodson)</t>
  </si>
  <si>
    <t>Cum Disbursement to Members</t>
  </si>
  <si>
    <t>/year (Ref: ASHRAE)</t>
  </si>
  <si>
    <t xml:space="preserve">AddressLine1: </t>
  </si>
  <si>
    <t xml:space="preserve">City, State, Zip: </t>
  </si>
  <si>
    <t xml:space="preserve">Customer Name: </t>
  </si>
  <si>
    <t xml:space="preserve">Account Number:    </t>
  </si>
  <si>
    <t xml:space="preserve">Report Create Date: </t>
  </si>
  <si>
    <t>Premise Number:                                         Premise Description:  </t>
  </si>
  <si>
    <t>Hydro/Other</t>
  </si>
  <si>
    <t>HARM - Monetized ($)</t>
  </si>
  <si>
    <t>XCEL Specific GHG Emissions per kWh</t>
  </si>
  <si>
    <t>HARM (Tonnes) with Methane Leakage</t>
  </si>
  <si>
    <t>The general expression becomes  - with leakage of:</t>
  </si>
  <si>
    <t>(NOTE:  Any value above 1.67 is worse than Coal)</t>
  </si>
  <si>
    <r>
      <t>CO</t>
    </r>
    <r>
      <rPr>
        <b/>
        <vertAlign val="subscript"/>
        <sz val="14"/>
        <color theme="1"/>
        <rFont val="Calibri"/>
        <family val="2"/>
        <scheme val="minor"/>
      </rPr>
      <t>2</t>
    </r>
  </si>
  <si>
    <t>Ave Multiplier</t>
  </si>
  <si>
    <r>
      <t>Example Energy Usage Report Summary</t>
    </r>
    <r>
      <rPr>
        <sz val="16"/>
        <color rgb="FF000000"/>
        <rFont val="Arial"/>
        <family val="2"/>
      </rPr>
      <t> </t>
    </r>
  </si>
  <si>
    <t>Energy Escalation Table</t>
  </si>
  <si>
    <t>IGNORED COSTS (EXTERNALITES)   -    ASSUMPTION:  CURRENTLY BUYING ENERGY FROM XCEL</t>
  </si>
  <si>
    <t>Xcel Energy Fuel Mix
(Adjust as required)</t>
  </si>
  <si>
    <r>
      <t xml:space="preserve">Approximately 44% of the electrical power purchased from Xcel Energy is generated from </t>
    </r>
    <r>
      <rPr>
        <b/>
        <sz val="16"/>
        <color theme="1"/>
        <rFont val="Calibri"/>
        <family val="2"/>
        <scheme val="minor"/>
      </rPr>
      <t>coal.</t>
    </r>
  </si>
  <si>
    <r>
      <t xml:space="preserve">Approximately 28% of the electrical power is generated from </t>
    </r>
    <r>
      <rPr>
        <b/>
        <sz val="16"/>
        <color theme="1"/>
        <rFont val="Calibri"/>
        <family val="2"/>
        <scheme val="minor"/>
      </rPr>
      <t>natural gas.</t>
    </r>
  </si>
  <si>
    <r>
      <t>We acknowledge that natural gas "burns cleaner" than coal.    A coal fired plant produces 2 lbs of CO</t>
    </r>
    <r>
      <rPr>
        <vertAlign val="subscript"/>
        <sz val="12"/>
        <color theme="1"/>
        <rFont val="Calibri"/>
        <family val="2"/>
        <scheme val="minor"/>
      </rPr>
      <t>2</t>
    </r>
    <r>
      <rPr>
        <sz val="12"/>
        <color theme="1"/>
        <rFont val="Calibri"/>
        <family val="2"/>
        <scheme val="minor"/>
      </rPr>
      <t xml:space="preserve"> for every 1 kWh generated.    A gas fired plant produces 1.2 lbs / kWh.   Both are "dirty" but burning natural gas does not release the mercury and other heavy metals associated with coal.   Nor does natural gas result in the issues associated with handling and storing coal ash/fly ash.    </t>
    </r>
  </si>
  <si>
    <r>
      <t xml:space="preserve">But natural gas has different issues that do harm, specically leakage into the atmosphere.   Natural gas is predominately methane.  Methane is a powerful green house gas.  We now know that, pound for pound, methane has a Global Warming Potential (GWP) that is </t>
    </r>
    <r>
      <rPr>
        <b/>
        <sz val="12"/>
        <color theme="1"/>
        <rFont val="Calibri"/>
        <family val="2"/>
        <scheme val="minor"/>
      </rPr>
      <t>86 times that of CO</t>
    </r>
    <r>
      <rPr>
        <b/>
        <vertAlign val="subscript"/>
        <sz val="12"/>
        <color theme="1"/>
        <rFont val="Calibri"/>
        <family val="2"/>
        <scheme val="minor"/>
      </rPr>
      <t>2</t>
    </r>
    <r>
      <rPr>
        <b/>
        <sz val="12"/>
        <color theme="1"/>
        <rFont val="Calibri"/>
        <family val="2"/>
        <scheme val="minor"/>
      </rPr>
      <t xml:space="preserve"> when averaged over a 20 year period </t>
    </r>
    <r>
      <rPr>
        <sz val="12"/>
        <color theme="1"/>
        <rFont val="Calibri"/>
        <family val="2"/>
        <scheme val="minor"/>
      </rPr>
      <t>according to the IPCC.   Our EPA stills uses a GWP of 25 when averaged over a 100 year time frame - but we now know that the methane molecule has only a 10-15 year lifetime when released into the atmosphere.  (by then it has transformed into CO</t>
    </r>
    <r>
      <rPr>
        <vertAlign val="subscript"/>
        <sz val="12"/>
        <color theme="1"/>
        <rFont val="Calibri"/>
        <family val="2"/>
        <scheme val="minor"/>
      </rPr>
      <t>2</t>
    </r>
    <r>
      <rPr>
        <sz val="12"/>
        <color theme="1"/>
        <rFont val="Calibri"/>
        <family val="2"/>
        <scheme val="minor"/>
      </rPr>
      <t xml:space="preserve"> and water vapor) - so </t>
    </r>
    <r>
      <rPr>
        <b/>
        <sz val="12"/>
        <color theme="1"/>
        <rFont val="Calibri"/>
        <family val="2"/>
        <scheme val="minor"/>
      </rPr>
      <t>the 20 year averaging period proposed by the IPCC is more reasonable so we use GWP = 86 in this assessment.</t>
    </r>
  </si>
  <si>
    <r>
      <rPr>
        <b/>
        <sz val="12"/>
        <color theme="1"/>
        <rFont val="Calibri"/>
        <family val="2"/>
        <scheme val="minor"/>
      </rPr>
      <t xml:space="preserve">Methane Leakage. </t>
    </r>
    <r>
      <rPr>
        <sz val="12"/>
        <color theme="1"/>
        <rFont val="Calibri"/>
        <family val="2"/>
        <scheme val="minor"/>
      </rPr>
      <t xml:space="preserve"> We now know that when natural gas is drilled/fracked/collected/transport, there is at least 3% leakage of methane.   For years the natural gas industry has been self-reporting less than 3% to the EPA.    The EPA has been so underfunded it is does not have to the staff to monitor or verify the self reported data.    
Recently independent organizations (Non-profits and iniversities) as well as NOAA and NASA have conducted actual measurement of methane concentrations in several currently producing gas fields.   They measured leakage rates in the range of 6-17%.    
Why is this important?   </t>
    </r>
    <r>
      <rPr>
        <b/>
        <sz val="12"/>
        <color theme="1"/>
        <rFont val="Calibri"/>
        <family val="2"/>
        <scheme val="minor"/>
      </rPr>
      <t>Because a 3% leakage during the natural gas production process makes natural gas worse than burning coal from a climate change perspective</t>
    </r>
    <r>
      <rPr>
        <sz val="12"/>
        <color theme="1"/>
        <rFont val="Calibri"/>
        <family val="2"/>
        <scheme val="minor"/>
      </rPr>
      <t xml:space="preserve">.
This model uses the natural gas leakage rate as a variable, although it is being initialize automatically not a zero (that's obviously not reality), but at 3% knowing it could be double or triple that amount in the real world.  Methane leakage is not being experimentally monitored, there are no guidelines or regulations (Colorado prides itself in having the "strictest" regulation in the  country that limits leakage to 5% which is a joke).   http://www.scientificamerican.com/article/colorado-first-state-to-limit-methane-pollution-from-oil-and-gas-wells/
The EPA has recently proposed some regulations that are very complex - it is not yet clear how they will actually limit methane leakage - any leakage is not good for the global warming at this point in time - there is no safe level.   http://www3.epa.gov/airquality/oilandgas/pdfs/og_nsps_pr_081815.pdf </t>
    </r>
  </si>
  <si>
    <r>
      <t>Without methane leakage, 1 kWh of electrical power from a gas-fired plant would result in 1.2 lbs of CO</t>
    </r>
    <r>
      <rPr>
        <vertAlign val="subscript"/>
        <sz val="12"/>
        <color theme="1"/>
        <rFont val="Calibri"/>
        <family val="2"/>
        <scheme val="minor"/>
      </rPr>
      <t>2</t>
    </r>
    <r>
      <rPr>
        <sz val="12"/>
        <color theme="1"/>
        <rFont val="Calibri"/>
        <family val="2"/>
        <scheme val="minor"/>
      </rPr>
      <t>.   If 3% of gas produced leaks into the atmosphere before it is burned, the combination of leakage and burning is 1.93 times worst - an equivalent of 2.3 lbs of CO</t>
    </r>
    <r>
      <rPr>
        <vertAlign val="subscript"/>
        <sz val="12"/>
        <color theme="1"/>
        <rFont val="Calibri"/>
        <family val="2"/>
        <scheme val="minor"/>
      </rPr>
      <t>2</t>
    </r>
    <r>
      <rPr>
        <sz val="12"/>
        <color theme="1"/>
        <rFont val="Calibri"/>
        <family val="2"/>
        <scheme val="minor"/>
      </rPr>
      <t xml:space="preserve"> .   With 3% methane leakage, from a climate change perspective, producing electric using natural gas is 15% worse than  burning coal. Using the Xcel mix shown in the graphic, we can estimate the amount of CO2 created when Xcel generates 1 kWh of electrical power.    
</t>
    </r>
  </si>
  <si>
    <t>Assume 2018 Xcel Energy Fuel Mix (see H15 -H18)</t>
  </si>
  <si>
    <r>
      <t xml:space="preserve">INSTRUCTION:   </t>
    </r>
    <r>
      <rPr>
        <sz val="14"/>
        <rFont val="Calibri"/>
        <family val="2"/>
        <scheme val="minor"/>
      </rPr>
      <t>Light Blue cells are for User Input; Yellow cells are model results</t>
    </r>
  </si>
  <si>
    <t>RESULTS(Output)</t>
  </si>
  <si>
    <t>USER INPUT</t>
  </si>
  <si>
    <t xml:space="preserve">TOTAL REPLACEMENT COST
</t>
  </si>
  <si>
    <t>(20 years)</t>
  </si>
  <si>
    <t>RENEWABLE ENERGY SYSTEM PROPOSAL  - REVENUE NEUTRAL</t>
  </si>
  <si>
    <t>Round</t>
  </si>
  <si>
    <t xml:space="preserve">MEMBER LENDER FINANCING  "TRADITIONAL LOAN REPAYMENT"            </t>
  </si>
  <si>
    <t>GREEN GRANTS (DONATIONS)</t>
  </si>
  <si>
    <t>Fossil Fuel Equipment Replacement options</t>
  </si>
  <si>
    <t>FOSSIL FUEL ENERGY SYSTEM COSTS</t>
  </si>
  <si>
    <t>RENEWABLE ENERGY SYSTEM COSTS</t>
  </si>
  <si>
    <t>Current Electric Annual Bill</t>
  </si>
  <si>
    <t>(2012-2016 Average)</t>
  </si>
  <si>
    <t>Solar Electric  (55kW)</t>
  </si>
  <si>
    <t xml:space="preserve">Base Grid Fees </t>
  </si>
  <si>
    <t>Current Gas Utility Annual Bill</t>
  </si>
  <si>
    <t>(2016 Actuals)</t>
  </si>
  <si>
    <t xml:space="preserve">Geothermal </t>
  </si>
  <si>
    <t>Equip. Servicing</t>
  </si>
  <si>
    <t>New building saving</t>
  </si>
  <si>
    <t>Total Equipment Budget</t>
  </si>
  <si>
    <t>Annual O &amp; M</t>
  </si>
  <si>
    <t>Average</t>
  </si>
  <si>
    <t>Organization's Total Budget</t>
  </si>
  <si>
    <t>(Optional)</t>
  </si>
  <si>
    <t xml:space="preserve">"TRADITIONAL LOAN SERVICING" SCENARIO </t>
  </si>
  <si>
    <t>100% Sustainable Energy System Cost</t>
  </si>
  <si>
    <t>Dedicated Grants/Donations for Energy System</t>
  </si>
  <si>
    <t>Financing with Member Energy Loan</t>
  </si>
  <si>
    <t>year term @</t>
  </si>
  <si>
    <t>Total Financing Cost</t>
  </si>
  <si>
    <t>Annual Loan Payments (Traditional)</t>
  </si>
  <si>
    <t>20 Year Life Cycle Cost (Renewable)</t>
  </si>
  <si>
    <t>20 Year Life Cycle Cost (Fossil Fuel)</t>
  </si>
  <si>
    <t>Inflation / Energy Escalation Rate</t>
  </si>
  <si>
    <t>20 Year Cost Reduction with Solar/Geothermal</t>
  </si>
  <si>
    <t>Old Utility Bill plus Replacement</t>
  </si>
  <si>
    <t>Renewable Energy 
Utility Bill</t>
  </si>
  <si>
    <t>Reduction in Energy Expenses (Resources for other Programs)</t>
  </si>
  <si>
    <t xml:space="preserve">Cum Cost 
Reduction </t>
  </si>
  <si>
    <t>Energy % of Church Total Budget</t>
  </si>
  <si>
    <t>Total 20 yr Fossil Fuel Costs</t>
  </si>
  <si>
    <t>Total 20 yr Renewable Energy Costs</t>
  </si>
  <si>
    <t>Total Cost Reduction/
Financial Gain</t>
  </si>
  <si>
    <t>ExampleGasElectricBill</t>
  </si>
  <si>
    <t>FUCD Revenue Neutral Plan</t>
  </si>
  <si>
    <t>Workbook Overview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</si>
</sst>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0.0"/>
    <numFmt numFmtId="167" formatCode="0.0%"/>
    <numFmt numFmtId="168" formatCode="&quot;$&quot;#,##0.0000_);[Red]\(&quot;$&quot;#,##0.0000\)"/>
    <numFmt numFmtId="169" formatCode="0.000"/>
    <numFmt numFmtId="170" formatCode="\(0%\)"/>
    <numFmt numFmtId="171" formatCode="_(* #,##0_);_(* \(#,##0\);_(* &quot;-&quot;??_);_(@_)"/>
    <numFmt numFmtId="172" formatCode="_(&quot;$&quot;* #,##0_);_(&quot;$&quot;* \(#,##0\);_(&quot;$&quot;* &quot;-&quot;??_);_(@_)"/>
  </numFmts>
  <fonts count="89">
    <font>
      <sz val="11"/>
      <color theme="1"/>
      <name val="Calibri"/>
      <family val="2"/>
      <scheme val="minor"/>
    </font>
    <font>
      <sz val="9"/>
      <color rgb="FF000000"/>
      <name val="Arial"/>
      <family val="2"/>
    </font>
    <font>
      <sz val="11"/>
      <color rgb="FF000000"/>
      <name val="Calibri"/>
      <family val="2"/>
    </font>
    <font>
      <sz val="11"/>
      <color rgb="FF000000"/>
      <name val="Arial"/>
      <family val="2"/>
    </font>
    <font>
      <b/>
      <sz val="10"/>
      <color rgb="FF000000"/>
      <name val="Arial"/>
      <family val="2"/>
    </font>
    <font>
      <sz val="10"/>
      <color rgb="FF212121"/>
      <name val="Arial"/>
      <family val="2"/>
    </font>
    <font>
      <sz val="10"/>
      <name val="Arial"/>
      <family val="2"/>
    </font>
    <font>
      <sz val="11"/>
      <color theme="4" tint="-0.249977111117893"/>
      <name val="Calibri"/>
      <family val="2"/>
      <scheme val="minor"/>
    </font>
    <font>
      <b/>
      <sz val="11"/>
      <color theme="1"/>
      <name val="Calibri"/>
      <family val="2"/>
      <scheme val="minor"/>
    </font>
    <font>
      <b/>
      <sz val="14"/>
      <color theme="1"/>
      <name val="Calibri"/>
      <family val="2"/>
      <scheme val="minor"/>
    </font>
    <font>
      <sz val="9"/>
      <color indexed="81"/>
      <name val="Tahoma"/>
      <family val="2"/>
    </font>
    <font>
      <b/>
      <sz val="9"/>
      <color indexed="81"/>
      <name val="Tahoma"/>
      <family val="2"/>
    </font>
    <font>
      <sz val="12"/>
      <color theme="1"/>
      <name val="Calibri"/>
      <family val="2"/>
      <scheme val="minor"/>
    </font>
    <font>
      <sz val="12"/>
      <color rgb="FF000000"/>
      <name val="Calibri"/>
      <family val="2"/>
      <scheme val="minor"/>
    </font>
    <font>
      <sz val="11"/>
      <color rgb="FFFF0000"/>
      <name val="Calibri"/>
      <family val="2"/>
      <scheme val="minor"/>
    </font>
    <font>
      <sz val="11"/>
      <name val="Calibri"/>
      <family val="2"/>
      <scheme val="minor"/>
    </font>
    <font>
      <b/>
      <sz val="11"/>
      <name val="Calibri"/>
      <family val="2"/>
      <scheme val="minor"/>
    </font>
    <font>
      <sz val="11"/>
      <color rgb="FF000000"/>
      <name val="Calibri"/>
      <family val="2"/>
      <scheme val="minor"/>
    </font>
    <font>
      <sz val="11"/>
      <color rgb="FF212121"/>
      <name val="Calibri"/>
      <family val="2"/>
      <scheme val="minor"/>
    </font>
    <font>
      <b/>
      <sz val="12"/>
      <color theme="1"/>
      <name val="Calibri"/>
      <family val="2"/>
      <scheme val="minor"/>
    </font>
    <font>
      <u/>
      <sz val="11"/>
      <color theme="10"/>
      <name val="Calibri"/>
      <family val="2"/>
      <scheme val="minor"/>
    </font>
    <font>
      <b/>
      <sz val="14"/>
      <name val="Calibri"/>
      <family val="2"/>
      <scheme val="minor"/>
    </font>
    <font>
      <b/>
      <sz val="12"/>
      <color theme="0"/>
      <name val="Calibri"/>
      <family val="2"/>
      <scheme val="minor"/>
    </font>
    <font>
      <b/>
      <sz val="14"/>
      <color theme="0"/>
      <name val="Calibri"/>
      <family val="2"/>
      <scheme val="minor"/>
    </font>
    <font>
      <sz val="14"/>
      <color theme="0"/>
      <name val="Calibri"/>
      <family val="2"/>
      <scheme val="minor"/>
    </font>
    <font>
      <vertAlign val="subscript"/>
      <sz val="11"/>
      <color theme="1"/>
      <name val="Calibri"/>
      <family val="2"/>
      <scheme val="minor"/>
    </font>
    <font>
      <sz val="11"/>
      <color theme="1"/>
      <name val="Calibri"/>
      <family val="2"/>
      <scheme val="minor"/>
    </font>
    <font>
      <b/>
      <sz val="9"/>
      <color rgb="FF000000"/>
      <name val="Arial"/>
      <family val="2"/>
    </font>
    <font>
      <b/>
      <sz val="11"/>
      <color rgb="FF000000"/>
      <name val="Calibri"/>
      <family val="2"/>
      <scheme val="minor"/>
    </font>
    <font>
      <vertAlign val="subscript"/>
      <sz val="12"/>
      <color theme="1"/>
      <name val="Calibri"/>
      <family val="2"/>
      <scheme val="minor"/>
    </font>
    <font>
      <vertAlign val="subscript"/>
      <sz val="11"/>
      <color rgb="FF000000"/>
      <name val="Calibri"/>
      <family val="2"/>
      <scheme val="minor"/>
    </font>
    <font>
      <b/>
      <sz val="16"/>
      <color theme="1"/>
      <name val="Calibri"/>
      <family val="2"/>
      <scheme val="minor"/>
    </font>
    <font>
      <b/>
      <sz val="20"/>
      <color theme="1"/>
      <name val="Calibri"/>
      <family val="2"/>
      <scheme val="minor"/>
    </font>
    <font>
      <b/>
      <sz val="22"/>
      <color theme="0"/>
      <name val="Calibri"/>
      <family val="2"/>
      <scheme val="minor"/>
    </font>
    <font>
      <b/>
      <sz val="18"/>
      <color theme="0"/>
      <name val="Calibri"/>
      <family val="2"/>
      <scheme val="minor"/>
    </font>
    <font>
      <sz val="12"/>
      <name val="Calibri"/>
      <family val="2"/>
      <scheme val="minor"/>
    </font>
    <font>
      <sz val="11"/>
      <color rgb="FFFF7C80"/>
      <name val="Calibri"/>
      <family val="2"/>
      <scheme val="minor"/>
    </font>
    <font>
      <b/>
      <i/>
      <sz val="14"/>
      <name val="Calibri"/>
      <family val="2"/>
      <scheme val="minor"/>
    </font>
    <font>
      <i/>
      <sz val="14"/>
      <name val="Calibri"/>
      <family val="2"/>
      <scheme val="minor"/>
    </font>
    <font>
      <b/>
      <sz val="12"/>
      <name val="Calibri"/>
      <family val="2"/>
      <scheme val="minor"/>
    </font>
    <font>
      <b/>
      <vertAlign val="subscript"/>
      <sz val="14"/>
      <color theme="0"/>
      <name val="Calibri"/>
      <family val="2"/>
      <scheme val="minor"/>
    </font>
    <font>
      <sz val="14"/>
      <color theme="1"/>
      <name val="Calibri"/>
      <family val="2"/>
      <scheme val="minor"/>
    </font>
    <font>
      <b/>
      <sz val="16"/>
      <color theme="0"/>
      <name val="Calibri"/>
      <family val="2"/>
      <scheme val="minor"/>
    </font>
    <font>
      <sz val="12"/>
      <color theme="1"/>
      <name val="Times New Roman"/>
      <family val="1"/>
    </font>
    <font>
      <b/>
      <sz val="20"/>
      <color theme="0"/>
      <name val="Calibri"/>
      <family val="2"/>
      <scheme val="minor"/>
    </font>
    <font>
      <b/>
      <sz val="8"/>
      <color theme="1"/>
      <name val="Arial"/>
      <family val="2"/>
    </font>
    <font>
      <b/>
      <sz val="9"/>
      <color theme="1"/>
      <name val="Cambria"/>
      <family val="1"/>
    </font>
    <font>
      <b/>
      <sz val="4"/>
      <color theme="1"/>
      <name val="Cambria"/>
      <family val="1"/>
    </font>
    <font>
      <sz val="9"/>
      <color theme="1"/>
      <name val="PMingLiU"/>
      <family val="1"/>
    </font>
    <font>
      <sz val="9"/>
      <color theme="1"/>
      <name val="Myriad Pro"/>
      <family val="2"/>
    </font>
    <font>
      <sz val="1"/>
      <color theme="1"/>
      <name val="PMingLiU"/>
      <family val="1"/>
    </font>
    <font>
      <sz val="10"/>
      <color theme="1"/>
      <name val="PMingLiU"/>
      <family val="1"/>
    </font>
    <font>
      <b/>
      <sz val="14"/>
      <color rgb="FFFF0000"/>
      <name val="Calibri"/>
      <family val="2"/>
      <scheme val="minor"/>
    </font>
    <font>
      <sz val="11"/>
      <color theme="5" tint="0.39997558519241921"/>
      <name val="Calibri"/>
      <family val="2"/>
      <scheme val="minor"/>
    </font>
    <font>
      <sz val="20"/>
      <color rgb="FF333333"/>
      <name val="Times New Roman"/>
      <family val="1"/>
    </font>
    <font>
      <sz val="9"/>
      <color rgb="FF333333"/>
      <name val="Arial"/>
      <family val="2"/>
    </font>
    <font>
      <b/>
      <sz val="9"/>
      <color rgb="FF333333"/>
      <name val="Arial"/>
      <family val="2"/>
    </font>
    <font>
      <b/>
      <sz val="9"/>
      <color theme="1"/>
      <name val="PMingLiU"/>
      <family val="1"/>
    </font>
    <font>
      <b/>
      <i/>
      <sz val="12"/>
      <color theme="1"/>
      <name val="Calibri"/>
      <family val="2"/>
      <scheme val="minor"/>
    </font>
    <font>
      <b/>
      <vertAlign val="subscript"/>
      <sz val="12"/>
      <color theme="1"/>
      <name val="Calibri"/>
      <family val="2"/>
      <scheme val="minor"/>
    </font>
    <font>
      <b/>
      <vertAlign val="subscript"/>
      <sz val="14"/>
      <color theme="1"/>
      <name val="Calibri"/>
      <family val="2"/>
      <scheme val="minor"/>
    </font>
    <font>
      <sz val="10"/>
      <color theme="1"/>
      <name val="Calibri"/>
      <family val="2"/>
      <scheme val="minor"/>
    </font>
    <font>
      <b/>
      <sz val="14"/>
      <color rgb="FFC00000"/>
      <name val="Calibri"/>
      <family val="2"/>
      <scheme val="minor"/>
    </font>
    <font>
      <sz val="11"/>
      <color rgb="FF151515"/>
      <name val="Calibri"/>
      <family val="2"/>
      <scheme val="minor"/>
    </font>
    <font>
      <u/>
      <sz val="11"/>
      <color theme="10"/>
      <name val="Calibri"/>
      <family val="2"/>
    </font>
    <font>
      <vertAlign val="superscript"/>
      <sz val="11"/>
      <color rgb="FF000000"/>
      <name val="Calibri"/>
      <family val="2"/>
      <scheme val="minor"/>
    </font>
    <font>
      <b/>
      <sz val="14"/>
      <color theme="9" tint="-0.499984740745262"/>
      <name val="Calibri"/>
      <family val="2"/>
      <scheme val="minor"/>
    </font>
    <font>
      <sz val="11"/>
      <color rgb="FF111111"/>
      <name val="Calibri"/>
      <family val="2"/>
      <scheme val="minor"/>
    </font>
    <font>
      <b/>
      <sz val="10"/>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0"/>
      <color rgb="FF000000"/>
      <name val="Calibri"/>
      <family val="2"/>
      <scheme val="minor"/>
    </font>
    <font>
      <b/>
      <sz val="16"/>
      <color rgb="FF000000"/>
      <name val="Arial"/>
      <family val="2"/>
    </font>
    <font>
      <sz val="16"/>
      <color rgb="FF000000"/>
      <name val="Arial"/>
      <family val="2"/>
    </font>
    <font>
      <b/>
      <sz val="14"/>
      <color rgb="FF9C6500"/>
      <name val="Calibri"/>
      <family val="2"/>
      <scheme val="minor"/>
    </font>
    <font>
      <b/>
      <sz val="14"/>
      <color rgb="FF006100"/>
      <name val="Calibri"/>
      <family val="2"/>
      <scheme val="minor"/>
    </font>
    <font>
      <b/>
      <sz val="18"/>
      <color rgb="FFFF0000"/>
      <name val="Calibri"/>
      <family val="2"/>
      <scheme val="minor"/>
    </font>
    <font>
      <sz val="16"/>
      <color theme="1"/>
      <name val="Calibri"/>
      <family val="2"/>
      <scheme val="minor"/>
    </font>
    <font>
      <b/>
      <sz val="16"/>
      <color theme="1"/>
      <name val="Arial"/>
      <family val="2"/>
    </font>
    <font>
      <b/>
      <sz val="11"/>
      <color rgb="FF006100"/>
      <name val="Calibri"/>
      <family val="2"/>
      <scheme val="minor"/>
    </font>
    <font>
      <i/>
      <sz val="12"/>
      <color theme="1"/>
      <name val="Calibri"/>
      <family val="2"/>
      <scheme val="minor"/>
    </font>
    <font>
      <b/>
      <sz val="18"/>
      <name val="Calibri"/>
      <family val="2"/>
      <scheme val="minor"/>
    </font>
    <font>
      <sz val="14"/>
      <name val="Calibri"/>
      <family val="2"/>
      <scheme val="minor"/>
    </font>
    <font>
      <sz val="16"/>
      <color theme="0"/>
      <name val="Calibri"/>
      <family val="2"/>
      <scheme val="minor"/>
    </font>
    <font>
      <sz val="16"/>
      <color rgb="FFFFFF00"/>
      <name val="Calibri"/>
      <family val="2"/>
      <scheme val="minor"/>
    </font>
    <font>
      <b/>
      <sz val="16"/>
      <color rgb="FF000000"/>
      <name val="Calibri"/>
      <family val="2"/>
      <scheme val="minor"/>
    </font>
    <font>
      <b/>
      <sz val="11"/>
      <color theme="9"/>
      <name val="Calibri"/>
      <family val="2"/>
      <scheme val="minor"/>
    </font>
    <font>
      <sz val="12"/>
      <color theme="0"/>
      <name val="Calibri"/>
      <family val="2"/>
      <scheme val="minor"/>
    </font>
  </fonts>
  <fills count="36">
    <fill>
      <patternFill patternType="none"/>
    </fill>
    <fill>
      <patternFill patternType="gray125"/>
    </fill>
    <fill>
      <patternFill patternType="solid">
        <fgColor rgb="FFFFC00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92D050"/>
        <bgColor indexed="64"/>
      </patternFill>
    </fill>
    <fill>
      <patternFill patternType="solid">
        <fgColor theme="1"/>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FF0000"/>
        <bgColor indexed="64"/>
      </patternFill>
    </fill>
    <fill>
      <patternFill patternType="solid">
        <fgColor rgb="FFFF9999"/>
        <bgColor indexed="64"/>
      </patternFill>
    </fill>
    <fill>
      <patternFill patternType="solid">
        <fgColor theme="7"/>
        <bgColor indexed="64"/>
      </patternFill>
    </fill>
    <fill>
      <patternFill patternType="solid">
        <fgColor rgb="FFFFFF00"/>
        <bgColor indexed="64"/>
      </patternFill>
    </fill>
    <fill>
      <patternFill patternType="solid">
        <fgColor rgb="FFFFFF66"/>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00B050"/>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7C80"/>
        <bgColor indexed="64"/>
      </patternFill>
    </fill>
    <fill>
      <patternFill patternType="solid">
        <fgColor rgb="FFFFC000"/>
        <bgColor rgb="FF000000"/>
      </patternFill>
    </fill>
    <fill>
      <patternFill patternType="solid">
        <fgColor theme="3" tint="0.79998168889431442"/>
        <bgColor rgb="FF000000"/>
      </patternFill>
    </fill>
    <fill>
      <patternFill patternType="solid">
        <fgColor theme="9" tint="0.79998168889431442"/>
        <bgColor rgb="FF000000"/>
      </patternFill>
    </fill>
    <fill>
      <patternFill patternType="solid">
        <fgColor rgb="FFFFCC00"/>
        <bgColor indexed="64"/>
      </patternFill>
    </fill>
  </fills>
  <borders count="32">
    <border>
      <left/>
      <right/>
      <top/>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double">
        <color indexed="64"/>
      </bottom>
      <diagonal/>
    </border>
    <border>
      <left/>
      <right/>
      <top/>
      <bottom style="medium">
        <color rgb="FF000000"/>
      </bottom>
      <diagonal/>
    </border>
    <border>
      <left/>
      <right/>
      <top/>
      <bottom style="medium">
        <color rgb="FFDADADA"/>
      </bottom>
      <diagonal/>
    </border>
    <border>
      <left style="thin">
        <color rgb="FF000000"/>
      </left>
      <right/>
      <top/>
      <bottom/>
      <diagonal/>
    </border>
    <border>
      <left/>
      <right style="medium">
        <color rgb="FF000000"/>
      </right>
      <top/>
      <bottom/>
      <diagonal/>
    </border>
    <border>
      <left style="medium">
        <color rgb="FF000000"/>
      </left>
      <right/>
      <top/>
      <bottom/>
      <diagonal/>
    </border>
    <border>
      <left/>
      <right/>
      <top/>
      <bottom style="thin">
        <color rgb="FF000000"/>
      </bottom>
      <diagonal/>
    </border>
    <border>
      <left/>
      <right/>
      <top style="thin">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4">
    <xf numFmtId="0" fontId="0" fillId="0" borderId="0"/>
    <xf numFmtId="0" fontId="20" fillId="0" borderId="0" applyNumberFormat="0" applyFill="0" applyBorder="0" applyAlignment="0" applyProtection="0"/>
    <xf numFmtId="9" fontId="26" fillId="0" borderId="0" applyFont="0" applyFill="0" applyBorder="0" applyAlignment="0" applyProtection="0"/>
    <xf numFmtId="0" fontId="64" fillId="0" borderId="0" applyNumberFormat="0" applyFill="0" applyBorder="0" applyAlignment="0" applyProtection="0">
      <alignment vertical="top"/>
      <protection locked="0"/>
    </xf>
    <xf numFmtId="43" fontId="26" fillId="0" borderId="0" applyFont="0" applyFill="0" applyBorder="0" applyAlignment="0" applyProtection="0"/>
    <xf numFmtId="0" fontId="69" fillId="26" borderId="0" applyNumberFormat="0" applyBorder="0" applyAlignment="0" applyProtection="0"/>
    <xf numFmtId="0" fontId="70" fillId="27" borderId="0" applyNumberFormat="0" applyBorder="0" applyAlignment="0" applyProtection="0"/>
    <xf numFmtId="0" fontId="71"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cellStyleXfs>
  <cellXfs count="490">
    <xf numFmtId="0" fontId="0" fillId="0" borderId="0" xfId="0"/>
    <xf numFmtId="3" fontId="0" fillId="0" borderId="0" xfId="0" applyNumberFormat="1"/>
    <xf numFmtId="1" fontId="0" fillId="0" borderId="0" xfId="0" applyNumberFormat="1"/>
    <xf numFmtId="164" fontId="0" fillId="0" borderId="0" xfId="0" applyNumberFormat="1"/>
    <xf numFmtId="0" fontId="0" fillId="0" borderId="0" xfId="0" applyAlignment="1">
      <alignment wrapText="1"/>
    </xf>
    <xf numFmtId="0" fontId="9" fillId="0" borderId="0" xfId="0" applyFont="1"/>
    <xf numFmtId="0" fontId="0" fillId="4" borderId="0" xfId="0" applyFill="1"/>
    <xf numFmtId="0" fontId="17" fillId="4" borderId="0" xfId="0" applyFont="1" applyFill="1" applyBorder="1" applyAlignment="1">
      <alignment horizontal="left" vertical="center" wrapText="1"/>
    </xf>
    <xf numFmtId="0" fontId="15" fillId="4" borderId="0" xfId="0" applyFont="1" applyFill="1" applyAlignment="1">
      <alignment vertical="center" wrapText="1"/>
    </xf>
    <xf numFmtId="0" fontId="6" fillId="4" borderId="0" xfId="0" applyFont="1" applyFill="1" applyAlignment="1">
      <alignment vertical="center" wrapText="1"/>
    </xf>
    <xf numFmtId="0" fontId="0" fillId="5" borderId="0" xfId="0" applyFill="1"/>
    <xf numFmtId="0" fontId="0" fillId="0" borderId="0" xfId="0" applyFill="1"/>
    <xf numFmtId="0" fontId="0" fillId="2" borderId="0" xfId="0" applyFill="1" applyAlignment="1">
      <alignment horizontal="center"/>
    </xf>
    <xf numFmtId="0" fontId="0" fillId="5" borderId="0" xfId="0" applyFill="1" applyAlignment="1">
      <alignment horizontal="center"/>
    </xf>
    <xf numFmtId="0" fontId="0" fillId="6" borderId="0" xfId="0" applyFill="1"/>
    <xf numFmtId="0" fontId="0" fillId="8" borderId="0" xfId="0" applyFill="1"/>
    <xf numFmtId="0" fontId="8" fillId="0" borderId="0" xfId="0" applyFont="1"/>
    <xf numFmtId="0" fontId="0" fillId="9" borderId="0" xfId="0" applyFill="1"/>
    <xf numFmtId="0" fontId="19" fillId="9" borderId="0" xfId="0" applyFont="1" applyFill="1"/>
    <xf numFmtId="0" fontId="0" fillId="0" borderId="0" xfId="0" applyAlignment="1">
      <alignment horizontal="right"/>
    </xf>
    <xf numFmtId="1" fontId="0" fillId="4" borderId="0" xfId="0" applyNumberFormat="1" applyFill="1"/>
    <xf numFmtId="0" fontId="14" fillId="0" borderId="0" xfId="0" applyFont="1"/>
    <xf numFmtId="3" fontId="0" fillId="4" borderId="0" xfId="0" applyNumberFormat="1" applyFill="1"/>
    <xf numFmtId="0" fontId="31" fillId="0" borderId="0" xfId="0" applyFont="1"/>
    <xf numFmtId="0" fontId="19" fillId="4" borderId="0" xfId="0" applyFont="1" applyFill="1"/>
    <xf numFmtId="0" fontId="9" fillId="0" borderId="0" xfId="0" applyFont="1" applyAlignment="1">
      <alignment horizontal="center"/>
    </xf>
    <xf numFmtId="0" fontId="0" fillId="10" borderId="0" xfId="0" applyFill="1"/>
    <xf numFmtId="3" fontId="0" fillId="9" borderId="0" xfId="0" applyNumberFormat="1" applyFill="1"/>
    <xf numFmtId="0" fontId="0" fillId="5" borderId="0" xfId="0" applyFill="1" applyAlignment="1">
      <alignment horizontal="left"/>
    </xf>
    <xf numFmtId="1" fontId="0" fillId="5" borderId="0" xfId="0" applyNumberFormat="1" applyFill="1" applyAlignment="1">
      <alignment horizontal="center"/>
    </xf>
    <xf numFmtId="0" fontId="13" fillId="4" borderId="0" xfId="0" applyFont="1" applyFill="1"/>
    <xf numFmtId="0" fontId="12" fillId="4" borderId="0" xfId="0" applyFont="1" applyFill="1"/>
    <xf numFmtId="0" fontId="22" fillId="13" borderId="0" xfId="0" applyFont="1" applyFill="1"/>
    <xf numFmtId="3" fontId="22" fillId="13" borderId="0" xfId="0" applyNumberFormat="1" applyFont="1" applyFill="1"/>
    <xf numFmtId="0" fontId="0" fillId="0" borderId="0" xfId="0" applyFill="1" applyAlignment="1">
      <alignment wrapText="1"/>
    </xf>
    <xf numFmtId="0" fontId="36" fillId="15" borderId="0" xfId="0" applyFont="1" applyFill="1"/>
    <xf numFmtId="0" fontId="15" fillId="15" borderId="0" xfId="0" applyFont="1" applyFill="1" applyAlignment="1">
      <alignment horizontal="left" wrapText="1"/>
    </xf>
    <xf numFmtId="0" fontId="35" fillId="2" borderId="0" xfId="0" applyFont="1" applyFill="1" applyAlignment="1">
      <alignment horizontal="left"/>
    </xf>
    <xf numFmtId="0" fontId="19" fillId="16" borderId="0" xfId="0" applyFont="1" applyFill="1" applyAlignment="1">
      <alignment vertical="center"/>
    </xf>
    <xf numFmtId="0" fontId="0" fillId="16" borderId="0" xfId="0" applyFill="1" applyAlignment="1">
      <alignment horizontal="right"/>
    </xf>
    <xf numFmtId="0" fontId="8" fillId="16" borderId="0" xfId="0" applyFont="1" applyFill="1"/>
    <xf numFmtId="0" fontId="19" fillId="16" borderId="0" xfId="0" applyFont="1" applyFill="1" applyAlignment="1">
      <alignment horizontal="left"/>
    </xf>
    <xf numFmtId="0" fontId="8" fillId="16" borderId="0" xfId="0" applyFont="1" applyFill="1" applyAlignment="1">
      <alignment horizontal="right"/>
    </xf>
    <xf numFmtId="0" fontId="19" fillId="16" borderId="0" xfId="0" applyFont="1" applyFill="1" applyAlignment="1">
      <alignment horizontal="right"/>
    </xf>
    <xf numFmtId="0" fontId="9" fillId="16" borderId="0" xfId="0" applyFont="1" applyFill="1" applyAlignment="1">
      <alignment horizontal="right"/>
    </xf>
    <xf numFmtId="0" fontId="16" fillId="5" borderId="0" xfId="0" applyFont="1" applyFill="1" applyAlignment="1"/>
    <xf numFmtId="0" fontId="9" fillId="10" borderId="0" xfId="0" applyFont="1" applyFill="1" applyAlignment="1">
      <alignment horizontal="right" vertical="center"/>
    </xf>
    <xf numFmtId="0" fontId="12" fillId="5" borderId="0" xfId="0" applyFont="1" applyFill="1" applyAlignment="1">
      <alignment vertical="center"/>
    </xf>
    <xf numFmtId="0" fontId="12" fillId="5" borderId="0" xfId="0" applyFont="1" applyFill="1" applyAlignment="1">
      <alignment horizontal="right" vertical="center"/>
    </xf>
    <xf numFmtId="0" fontId="43" fillId="5" borderId="0" xfId="0" applyFont="1" applyFill="1" applyAlignment="1">
      <alignment vertical="center"/>
    </xf>
    <xf numFmtId="0" fontId="9" fillId="17" borderId="0" xfId="0" applyFont="1" applyFill="1" applyAlignment="1">
      <alignment horizontal="right" wrapText="1"/>
    </xf>
    <xf numFmtId="0" fontId="0" fillId="17" borderId="0" xfId="0" applyFill="1"/>
    <xf numFmtId="0" fontId="33" fillId="14" borderId="0" xfId="0" applyFont="1" applyFill="1" applyAlignment="1">
      <alignment horizontal="center" wrapText="1"/>
    </xf>
    <xf numFmtId="167" fontId="0" fillId="0" borderId="0" xfId="0" applyNumberFormat="1"/>
    <xf numFmtId="166" fontId="0" fillId="0" borderId="0" xfId="0" applyNumberFormat="1"/>
    <xf numFmtId="0" fontId="0" fillId="19" borderId="0" xfId="0" applyFill="1"/>
    <xf numFmtId="0" fontId="1" fillId="19" borderId="2" xfId="0" applyFont="1" applyFill="1" applyBorder="1" applyAlignment="1">
      <alignment horizontal="center" vertical="center" wrapText="1"/>
    </xf>
    <xf numFmtId="0" fontId="1" fillId="19" borderId="8" xfId="0" applyFont="1" applyFill="1" applyBorder="1" applyAlignment="1">
      <alignment horizontal="center" vertical="center" wrapText="1"/>
    </xf>
    <xf numFmtId="0" fontId="1" fillId="19" borderId="9" xfId="0" applyFont="1" applyFill="1" applyBorder="1" applyAlignment="1">
      <alignment horizontal="right" vertical="center" wrapText="1"/>
    </xf>
    <xf numFmtId="0" fontId="1" fillId="19" borderId="3" xfId="0" applyFont="1" applyFill="1" applyBorder="1" applyAlignment="1">
      <alignment horizontal="center" vertical="center" wrapText="1"/>
    </xf>
    <xf numFmtId="0" fontId="1" fillId="19" borderId="7" xfId="0" applyFont="1" applyFill="1" applyBorder="1" applyAlignment="1">
      <alignment horizontal="right" vertical="center" wrapText="1"/>
    </xf>
    <xf numFmtId="4" fontId="1" fillId="19" borderId="5" xfId="0" applyNumberFormat="1" applyFont="1" applyFill="1" applyBorder="1" applyAlignment="1">
      <alignment horizontal="right" vertical="center" wrapText="1"/>
    </xf>
    <xf numFmtId="0" fontId="1" fillId="19" borderId="11" xfId="0" applyFont="1" applyFill="1" applyBorder="1" applyAlignment="1">
      <alignment horizontal="right" vertical="center" wrapText="1"/>
    </xf>
    <xf numFmtId="4" fontId="1" fillId="19" borderId="6" xfId="0" applyNumberFormat="1" applyFont="1" applyFill="1" applyBorder="1" applyAlignment="1">
      <alignment horizontal="right" vertical="center" wrapText="1"/>
    </xf>
    <xf numFmtId="8" fontId="1" fillId="19" borderId="12" xfId="0" applyNumberFormat="1" applyFont="1" applyFill="1" applyBorder="1" applyAlignment="1">
      <alignment horizontal="right" vertical="center" wrapText="1"/>
    </xf>
    <xf numFmtId="0" fontId="1" fillId="19" borderId="12" xfId="0" applyFont="1" applyFill="1" applyBorder="1" applyAlignment="1">
      <alignment horizontal="right" vertical="center" wrapText="1"/>
    </xf>
    <xf numFmtId="0" fontId="0" fillId="0" borderId="0" xfId="0" applyAlignment="1">
      <alignment horizontal="center"/>
    </xf>
    <xf numFmtId="0" fontId="0" fillId="4" borderId="0" xfId="0" applyFill="1" applyAlignment="1">
      <alignment horizontal="center"/>
    </xf>
    <xf numFmtId="0" fontId="0" fillId="0" borderId="0" xfId="0" applyAlignment="1">
      <alignment vertical="top"/>
    </xf>
    <xf numFmtId="0" fontId="12" fillId="16" borderId="0" xfId="0" applyFont="1" applyFill="1" applyAlignment="1">
      <alignment horizontal="left" vertical="top" wrapText="1"/>
    </xf>
    <xf numFmtId="0" fontId="42" fillId="14" borderId="0" xfId="0" applyFont="1" applyFill="1" applyAlignment="1">
      <alignment horizontal="left"/>
    </xf>
    <xf numFmtId="0" fontId="34" fillId="14" borderId="0" xfId="0" applyFont="1" applyFill="1" applyAlignment="1">
      <alignment horizontal="left" vertical="center"/>
    </xf>
    <xf numFmtId="0" fontId="0" fillId="0" borderId="0" xfId="0" applyAlignment="1"/>
    <xf numFmtId="0" fontId="45" fillId="6" borderId="0" xfId="0" applyFont="1" applyFill="1" applyAlignment="1">
      <alignment horizontal="left" vertical="center" indent="1"/>
    </xf>
    <xf numFmtId="0" fontId="48" fillId="6" borderId="0" xfId="0" applyFont="1" applyFill="1" applyAlignment="1">
      <alignment horizontal="left" vertical="center" indent="15"/>
    </xf>
    <xf numFmtId="0" fontId="50" fillId="6" borderId="0" xfId="0" applyFont="1" applyFill="1" applyAlignment="1">
      <alignment vertical="center"/>
    </xf>
    <xf numFmtId="0" fontId="48" fillId="6" borderId="0" xfId="0" applyFont="1" applyFill="1" applyAlignment="1">
      <alignment horizontal="center" vertical="center" wrapText="1"/>
    </xf>
    <xf numFmtId="0" fontId="48" fillId="6" borderId="17" xfId="0" applyFont="1" applyFill="1" applyBorder="1" applyAlignment="1">
      <alignment horizontal="center" vertical="center" wrapText="1"/>
    </xf>
    <xf numFmtId="0" fontId="48" fillId="6" borderId="0" xfId="0" applyFont="1" applyFill="1" applyAlignment="1">
      <alignment vertical="center" wrapText="1"/>
    </xf>
    <xf numFmtId="0" fontId="51" fillId="6" borderId="0" xfId="0" applyFont="1" applyFill="1" applyAlignment="1">
      <alignment vertical="center"/>
    </xf>
    <xf numFmtId="0" fontId="54" fillId="0" borderId="18" xfId="0" applyFont="1" applyBorder="1" applyAlignment="1">
      <alignment vertical="center" wrapText="1"/>
    </xf>
    <xf numFmtId="0" fontId="56" fillId="0" borderId="0" xfId="0" applyFont="1" applyAlignment="1">
      <alignment vertical="center" wrapText="1"/>
    </xf>
    <xf numFmtId="0" fontId="55" fillId="0" borderId="0" xfId="0" applyFont="1" applyAlignment="1">
      <alignment vertical="center" wrapText="1"/>
    </xf>
    <xf numFmtId="0" fontId="20" fillId="0" borderId="0" xfId="1" applyAlignment="1">
      <alignment vertical="center" wrapText="1"/>
    </xf>
    <xf numFmtId="9" fontId="0" fillId="0" borderId="0" xfId="0" applyNumberFormat="1"/>
    <xf numFmtId="0" fontId="0" fillId="0" borderId="0" xfId="0" quotePrefix="1"/>
    <xf numFmtId="0" fontId="52" fillId="0" borderId="0" xfId="0" applyFont="1"/>
    <xf numFmtId="9" fontId="0" fillId="0" borderId="0" xfId="0" applyNumberFormat="1" applyAlignment="1">
      <alignment horizontal="center"/>
    </xf>
    <xf numFmtId="2" fontId="7" fillId="0" borderId="0" xfId="0" applyNumberFormat="1" applyFont="1"/>
    <xf numFmtId="169" fontId="7" fillId="0" borderId="0" xfId="0" applyNumberFormat="1" applyFont="1"/>
    <xf numFmtId="0" fontId="7" fillId="0" borderId="0" xfId="0" applyFont="1"/>
    <xf numFmtId="168" fontId="0" fillId="0" borderId="0" xfId="0" applyNumberFormat="1"/>
    <xf numFmtId="0" fontId="47" fillId="6" borderId="15" xfId="0" applyFont="1" applyFill="1" applyBorder="1" applyAlignment="1">
      <alignment vertical="center"/>
    </xf>
    <xf numFmtId="0" fontId="48" fillId="6" borderId="0" xfId="0" applyFont="1" applyFill="1" applyAlignment="1">
      <alignment horizontal="left"/>
    </xf>
    <xf numFmtId="3" fontId="0" fillId="5" borderId="0" xfId="0" applyNumberFormat="1" applyFont="1" applyFill="1" applyAlignment="1">
      <alignment horizontal="center" vertical="center"/>
    </xf>
    <xf numFmtId="0" fontId="48" fillId="6" borderId="0" xfId="0" applyFont="1" applyFill="1" applyAlignment="1">
      <alignment horizontal="left" vertical="center" wrapText="1"/>
    </xf>
    <xf numFmtId="0" fontId="48" fillId="6" borderId="0" xfId="0" applyFont="1" applyFill="1" applyAlignment="1">
      <alignment vertical="top" wrapText="1"/>
    </xf>
    <xf numFmtId="0" fontId="48" fillId="6" borderId="0" xfId="0" applyFont="1" applyFill="1" applyAlignment="1">
      <alignment horizontal="center" vertical="top" wrapText="1"/>
    </xf>
    <xf numFmtId="0" fontId="48" fillId="6" borderId="0" xfId="0" applyFont="1" applyFill="1" applyAlignment="1">
      <alignment horizontal="center" wrapText="1"/>
    </xf>
    <xf numFmtId="0" fontId="48" fillId="6" borderId="0" xfId="0" applyFont="1" applyFill="1" applyAlignment="1">
      <alignment horizontal="center" vertical="center"/>
    </xf>
    <xf numFmtId="0" fontId="48" fillId="6" borderId="0" xfId="0" applyFont="1" applyFill="1" applyAlignment="1">
      <alignment horizontal="left" vertical="top" wrapText="1"/>
    </xf>
    <xf numFmtId="0" fontId="36" fillId="15" borderId="0" xfId="0" applyFont="1" applyFill="1" applyAlignment="1">
      <alignment horizontal="center"/>
    </xf>
    <xf numFmtId="0" fontId="15" fillId="15" borderId="0" xfId="0" applyFont="1" applyFill="1" applyAlignment="1">
      <alignment horizontal="center" wrapText="1"/>
    </xf>
    <xf numFmtId="0" fontId="35" fillId="2" borderId="0" xfId="0" applyFont="1" applyFill="1" applyAlignment="1">
      <alignment horizontal="center"/>
    </xf>
    <xf numFmtId="0" fontId="0" fillId="16" borderId="0" xfId="0" applyFill="1" applyAlignment="1">
      <alignment horizontal="center"/>
    </xf>
    <xf numFmtId="0" fontId="0" fillId="16" borderId="0" xfId="0" applyFont="1" applyFill="1" applyAlignment="1">
      <alignment horizontal="center"/>
    </xf>
    <xf numFmtId="0" fontId="35" fillId="5" borderId="0" xfId="0" applyFont="1" applyFill="1" applyAlignment="1">
      <alignment horizontal="center"/>
    </xf>
    <xf numFmtId="3" fontId="35" fillId="5" borderId="0" xfId="0" applyNumberFormat="1" applyFont="1" applyFill="1" applyAlignment="1">
      <alignment horizontal="center"/>
    </xf>
    <xf numFmtId="0" fontId="0" fillId="10" borderId="0" xfId="0" applyFont="1" applyFill="1" applyAlignment="1">
      <alignment horizontal="center"/>
    </xf>
    <xf numFmtId="0" fontId="0" fillId="4" borderId="0" xfId="0" applyFont="1" applyFill="1" applyAlignment="1">
      <alignment horizontal="center"/>
    </xf>
    <xf numFmtId="0" fontId="0" fillId="17" borderId="0" xfId="0" applyFill="1" applyAlignment="1">
      <alignment horizontal="center"/>
    </xf>
    <xf numFmtId="0" fontId="33" fillId="14" borderId="0" xfId="0" applyFont="1" applyFill="1" applyAlignment="1">
      <alignment horizontal="center"/>
    </xf>
    <xf numFmtId="0" fontId="0" fillId="6" borderId="0" xfId="0" applyFill="1" applyAlignment="1">
      <alignment horizontal="center"/>
    </xf>
    <xf numFmtId="0" fontId="0" fillId="6" borderId="15" xfId="0" applyFill="1" applyBorder="1" applyAlignment="1">
      <alignment horizontal="center"/>
    </xf>
    <xf numFmtId="0" fontId="0" fillId="6" borderId="0" xfId="0" applyFill="1" applyAlignment="1">
      <alignment horizontal="center" vertical="center" wrapText="1"/>
    </xf>
    <xf numFmtId="165" fontId="0" fillId="5" borderId="0" xfId="0" applyNumberFormat="1" applyFill="1" applyAlignment="1">
      <alignment horizontal="center"/>
    </xf>
    <xf numFmtId="0" fontId="12" fillId="16" borderId="0" xfId="0" applyFont="1" applyFill="1" applyAlignment="1">
      <alignment vertical="top"/>
    </xf>
    <xf numFmtId="0" fontId="12" fillId="16" borderId="0" xfId="0" applyFont="1" applyFill="1" applyAlignment="1">
      <alignment vertical="top" wrapText="1"/>
    </xf>
    <xf numFmtId="164" fontId="0" fillId="16" borderId="0" xfId="0" applyNumberFormat="1" applyFill="1" applyAlignment="1">
      <alignment horizontal="center"/>
    </xf>
    <xf numFmtId="3" fontId="0" fillId="16" borderId="0" xfId="0" applyNumberFormat="1" applyFill="1" applyAlignment="1">
      <alignment horizontal="center"/>
    </xf>
    <xf numFmtId="164" fontId="0" fillId="16" borderId="15" xfId="0" applyNumberFormat="1" applyFill="1" applyBorder="1" applyAlignment="1">
      <alignment horizontal="center"/>
    </xf>
    <xf numFmtId="164" fontId="0" fillId="16" borderId="15" xfId="0" applyNumberFormat="1" applyFont="1" applyFill="1" applyBorder="1" applyAlignment="1">
      <alignment horizontal="center"/>
    </xf>
    <xf numFmtId="164" fontId="19" fillId="16" borderId="0" xfId="0" applyNumberFormat="1" applyFont="1" applyFill="1" applyAlignment="1">
      <alignment horizontal="center"/>
    </xf>
    <xf numFmtId="164" fontId="8" fillId="16" borderId="0" xfId="0" applyNumberFormat="1" applyFont="1" applyFill="1" applyAlignment="1">
      <alignment horizontal="center"/>
    </xf>
    <xf numFmtId="164" fontId="9" fillId="16" borderId="0" xfId="0" applyNumberFormat="1" applyFont="1" applyFill="1" applyAlignment="1">
      <alignment horizontal="center"/>
    </xf>
    <xf numFmtId="164" fontId="21" fillId="5" borderId="0" xfId="0" applyNumberFormat="1" applyFont="1" applyFill="1" applyAlignment="1">
      <alignment horizontal="center"/>
    </xf>
    <xf numFmtId="0" fontId="0" fillId="10" borderId="0" xfId="0" applyFill="1" applyAlignment="1">
      <alignment horizontal="center"/>
    </xf>
    <xf numFmtId="0" fontId="0" fillId="5" borderId="0" xfId="0" applyFill="1" applyBorder="1" applyAlignment="1">
      <alignment horizontal="center"/>
    </xf>
    <xf numFmtId="1" fontId="0" fillId="5" borderId="0" xfId="0" quotePrefix="1" applyNumberFormat="1" applyFill="1" applyAlignment="1">
      <alignment horizontal="center"/>
    </xf>
    <xf numFmtId="0" fontId="36" fillId="15" borderId="0" xfId="0" applyFont="1" applyFill="1" applyAlignment="1">
      <alignment horizontal="center" vertical="center"/>
    </xf>
    <xf numFmtId="0" fontId="15" fillId="15" borderId="0" xfId="0" applyFont="1" applyFill="1" applyAlignment="1">
      <alignment horizontal="center" vertical="center" wrapText="1"/>
    </xf>
    <xf numFmtId="0" fontId="35" fillId="2" borderId="0" xfId="0" applyFont="1" applyFill="1" applyAlignment="1">
      <alignment horizontal="center" vertical="center"/>
    </xf>
    <xf numFmtId="0" fontId="0" fillId="16" borderId="0" xfId="0" applyFill="1" applyAlignment="1">
      <alignment horizontal="center" vertical="center"/>
    </xf>
    <xf numFmtId="164" fontId="19" fillId="16" borderId="0" xfId="0" applyNumberFormat="1" applyFont="1" applyFill="1" applyAlignment="1">
      <alignment horizontal="center" vertical="center"/>
    </xf>
    <xf numFmtId="0" fontId="39" fillId="5" borderId="0" xfId="0" applyFont="1" applyFill="1" applyAlignment="1">
      <alignment horizontal="center" vertical="center"/>
    </xf>
    <xf numFmtId="0" fontId="21" fillId="5" borderId="0" xfId="0" applyFont="1" applyFill="1" applyAlignment="1">
      <alignment horizontal="center" vertical="center"/>
    </xf>
    <xf numFmtId="0" fontId="0" fillId="10" borderId="0" xfId="0" applyFill="1" applyAlignment="1">
      <alignment horizontal="center" vertical="center"/>
    </xf>
    <xf numFmtId="164" fontId="9" fillId="17" borderId="0" xfId="0" applyNumberFormat="1" applyFont="1" applyFill="1" applyAlignment="1">
      <alignment horizontal="center" vertical="center"/>
    </xf>
    <xf numFmtId="0" fontId="0" fillId="0" borderId="0" xfId="0" applyAlignment="1">
      <alignment horizontal="center" vertical="center"/>
    </xf>
    <xf numFmtId="0" fontId="0" fillId="5" borderId="0" xfId="0" applyFill="1" applyAlignment="1">
      <alignment horizontal="center" vertical="center"/>
    </xf>
    <xf numFmtId="6" fontId="9" fillId="17" borderId="0" xfId="0" applyNumberFormat="1" applyFont="1" applyFill="1" applyAlignment="1">
      <alignment horizontal="center" vertical="center"/>
    </xf>
    <xf numFmtId="6" fontId="44" fillId="14" borderId="0" xfId="0" applyNumberFormat="1" applyFont="1" applyFill="1" applyAlignment="1">
      <alignment horizontal="center" vertical="center"/>
    </xf>
    <xf numFmtId="0" fontId="0" fillId="6" borderId="0" xfId="0" applyFill="1" applyAlignment="1">
      <alignment horizontal="center" vertical="center"/>
    </xf>
    <xf numFmtId="0" fontId="0" fillId="6" borderId="15" xfId="0" applyFill="1" applyBorder="1" applyAlignment="1">
      <alignment horizontal="center" vertical="center"/>
    </xf>
    <xf numFmtId="1" fontId="0" fillId="5" borderId="0" xfId="0" quotePrefix="1" applyNumberFormat="1" applyFill="1" applyAlignment="1">
      <alignment horizontal="center" vertical="center"/>
    </xf>
    <xf numFmtId="165" fontId="0" fillId="5" borderId="0" xfId="0" applyNumberFormat="1" applyFill="1" applyAlignment="1">
      <alignment horizontal="center" vertical="center"/>
    </xf>
    <xf numFmtId="3" fontId="0" fillId="4" borderId="0" xfId="0" quotePrefix="1" applyNumberFormat="1" applyFont="1" applyFill="1" applyAlignment="1">
      <alignment horizontal="center" vertical="center"/>
    </xf>
    <xf numFmtId="0" fontId="18" fillId="4" borderId="0" xfId="0" applyFont="1" applyFill="1" applyAlignment="1">
      <alignment horizontal="center" vertical="center" wrapText="1"/>
    </xf>
    <xf numFmtId="0" fontId="5" fillId="4" borderId="0" xfId="0" applyFont="1" applyFill="1" applyAlignment="1">
      <alignment horizontal="center" vertical="center" wrapText="1"/>
    </xf>
    <xf numFmtId="0" fontId="57" fillId="6" borderId="0" xfId="0" applyFont="1" applyFill="1" applyAlignment="1">
      <alignment horizontal="center" vertical="center" wrapText="1"/>
    </xf>
    <xf numFmtId="0" fontId="57" fillId="6" borderId="0" xfId="0" applyFont="1" applyFill="1" applyAlignment="1">
      <alignment horizontal="center" vertical="top"/>
    </xf>
    <xf numFmtId="0" fontId="57" fillId="6" borderId="0" xfId="0" applyFont="1" applyFill="1" applyAlignment="1">
      <alignment horizontal="center" vertical="top" wrapText="1"/>
    </xf>
    <xf numFmtId="0" fontId="53" fillId="6" borderId="0" xfId="0" applyFont="1" applyFill="1" applyAlignment="1">
      <alignment horizontal="center" vertical="center"/>
    </xf>
    <xf numFmtId="0" fontId="53" fillId="6" borderId="0" xfId="0" applyFont="1" applyFill="1" applyAlignment="1">
      <alignment horizontal="center"/>
    </xf>
    <xf numFmtId="0" fontId="57" fillId="6" borderId="17" xfId="0" applyFont="1" applyFill="1" applyBorder="1" applyAlignment="1">
      <alignment vertical="center" wrapText="1"/>
    </xf>
    <xf numFmtId="0" fontId="57" fillId="6" borderId="17" xfId="0" applyFont="1" applyFill="1" applyBorder="1" applyAlignment="1">
      <alignment horizontal="center" vertical="center" wrapText="1"/>
    </xf>
    <xf numFmtId="0" fontId="8" fillId="6" borderId="17" xfId="0" applyFont="1" applyFill="1" applyBorder="1" applyAlignment="1">
      <alignment horizontal="center" vertical="center" wrapText="1"/>
    </xf>
    <xf numFmtId="0" fontId="0" fillId="0" borderId="0" xfId="0" applyFont="1"/>
    <xf numFmtId="3" fontId="0" fillId="17" borderId="0" xfId="0" applyNumberFormat="1" applyFill="1"/>
    <xf numFmtId="3" fontId="19" fillId="16" borderId="0" xfId="0" applyNumberFormat="1" applyFont="1" applyFill="1" applyAlignment="1">
      <alignment horizontal="right" vertical="top" wrapText="1"/>
    </xf>
    <xf numFmtId="0" fontId="9" fillId="10" borderId="0" xfId="0" applyFont="1" applyFill="1" applyAlignment="1">
      <alignment horizontal="left" vertical="center"/>
    </xf>
    <xf numFmtId="0" fontId="9" fillId="10" borderId="0" xfId="0" applyFont="1" applyFill="1" applyAlignment="1">
      <alignment horizontal="left"/>
    </xf>
    <xf numFmtId="3" fontId="9" fillId="10" borderId="0" xfId="0" applyNumberFormat="1" applyFont="1" applyFill="1" applyAlignment="1">
      <alignment horizontal="left" vertical="center"/>
    </xf>
    <xf numFmtId="3" fontId="9" fillId="10" borderId="0" xfId="0" applyNumberFormat="1" applyFont="1" applyFill="1" applyAlignment="1">
      <alignment horizontal="center" vertical="center"/>
    </xf>
    <xf numFmtId="8" fontId="27" fillId="19" borderId="13" xfId="0" applyNumberFormat="1" applyFont="1" applyFill="1" applyBorder="1" applyAlignment="1">
      <alignment horizontal="right" vertical="center" wrapText="1"/>
    </xf>
    <xf numFmtId="0" fontId="8" fillId="20" borderId="0" xfId="0" applyFont="1" applyFill="1" applyAlignment="1">
      <alignment horizontal="center"/>
    </xf>
    <xf numFmtId="164" fontId="8" fillId="20" borderId="0" xfId="0" applyNumberFormat="1" applyFont="1" applyFill="1" applyAlignment="1">
      <alignment horizontal="center"/>
    </xf>
    <xf numFmtId="0" fontId="0" fillId="10" borderId="0" xfId="0" applyFill="1" applyAlignment="1">
      <alignment horizontal="left"/>
    </xf>
    <xf numFmtId="0" fontId="0" fillId="0" borderId="0" xfId="0" applyFont="1" applyAlignment="1">
      <alignment wrapText="1"/>
    </xf>
    <xf numFmtId="0" fontId="0" fillId="0" borderId="0" xfId="0" applyFont="1" applyAlignment="1">
      <alignment vertical="top" wrapText="1"/>
    </xf>
    <xf numFmtId="0" fontId="63" fillId="0" borderId="0" xfId="0" applyFont="1"/>
    <xf numFmtId="0" fontId="20" fillId="0" borderId="0" xfId="3" applyFont="1" applyAlignment="1" applyProtection="1"/>
    <xf numFmtId="0" fontId="28" fillId="0" borderId="0" xfId="0" applyFont="1" applyAlignment="1">
      <alignment wrapText="1"/>
    </xf>
    <xf numFmtId="0" fontId="17" fillId="0" borderId="0" xfId="0" applyFont="1" applyAlignment="1">
      <alignment wrapText="1"/>
    </xf>
    <xf numFmtId="0" fontId="0" fillId="0" borderId="0" xfId="0" applyFont="1" applyAlignment="1">
      <alignment horizontal="left"/>
    </xf>
    <xf numFmtId="2" fontId="0" fillId="0" borderId="0" xfId="0" applyNumberFormat="1" applyFont="1" applyAlignment="1">
      <alignment horizontal="left"/>
    </xf>
    <xf numFmtId="0" fontId="17" fillId="0" borderId="0" xfId="0" applyFont="1"/>
    <xf numFmtId="0" fontId="20" fillId="0" borderId="0" xfId="3" applyFont="1" applyAlignment="1" applyProtection="1">
      <alignment wrapText="1"/>
    </xf>
    <xf numFmtId="166" fontId="0" fillId="0" borderId="0" xfId="0" applyNumberFormat="1" applyFont="1" applyAlignment="1">
      <alignment horizontal="left"/>
    </xf>
    <xf numFmtId="10" fontId="8" fillId="0" borderId="0" xfId="0" applyNumberFormat="1" applyFont="1"/>
    <xf numFmtId="166" fontId="8" fillId="0" borderId="0" xfId="0" applyNumberFormat="1" applyFont="1"/>
    <xf numFmtId="1" fontId="0" fillId="0" borderId="0" xfId="0" applyNumberFormat="1" applyFont="1"/>
    <xf numFmtId="0" fontId="61" fillId="17" borderId="0" xfId="0" applyFont="1" applyFill="1" applyAlignment="1">
      <alignment horizontal="right" wrapText="1"/>
    </xf>
    <xf numFmtId="0" fontId="0" fillId="22" borderId="0" xfId="0" applyFill="1"/>
    <xf numFmtId="0" fontId="0" fillId="22" borderId="0" xfId="0" applyFill="1" applyAlignment="1">
      <alignment horizontal="right" wrapText="1"/>
    </xf>
    <xf numFmtId="3" fontId="0" fillId="22" borderId="0" xfId="0" applyNumberFormat="1" applyFill="1"/>
    <xf numFmtId="0" fontId="19" fillId="0" borderId="0" xfId="0" applyFont="1" applyAlignment="1">
      <alignment horizontal="center"/>
    </xf>
    <xf numFmtId="164" fontId="9" fillId="10" borderId="0" xfId="0" applyNumberFormat="1" applyFont="1" applyFill="1" applyAlignment="1">
      <alignment horizontal="center" vertical="center"/>
    </xf>
    <xf numFmtId="4" fontId="8" fillId="22" borderId="0" xfId="0" applyNumberFormat="1" applyFont="1" applyFill="1"/>
    <xf numFmtId="2" fontId="9" fillId="16" borderId="0" xfId="0" applyNumberFormat="1" applyFont="1" applyFill="1" applyAlignment="1">
      <alignment horizontal="right" vertical="top" wrapText="1"/>
    </xf>
    <xf numFmtId="0" fontId="9" fillId="16" borderId="0" xfId="0" applyFont="1" applyFill="1" applyAlignment="1">
      <alignment horizontal="left" vertical="top" wrapText="1"/>
    </xf>
    <xf numFmtId="0" fontId="9" fillId="16" borderId="0" xfId="0" applyFont="1" applyFill="1" applyAlignment="1">
      <alignment horizontal="left"/>
    </xf>
    <xf numFmtId="0" fontId="9" fillId="16" borderId="0" xfId="0" applyFont="1" applyFill="1" applyAlignment="1">
      <alignment horizontal="center" vertical="center"/>
    </xf>
    <xf numFmtId="3" fontId="9" fillId="16" borderId="0" xfId="0" applyNumberFormat="1" applyFont="1" applyFill="1" applyAlignment="1">
      <alignment horizontal="center"/>
    </xf>
    <xf numFmtId="0" fontId="9" fillId="16" borderId="0" xfId="0" applyFont="1" applyFill="1" applyAlignment="1">
      <alignment horizontal="center"/>
    </xf>
    <xf numFmtId="164" fontId="9" fillId="16" borderId="15" xfId="0" applyNumberFormat="1" applyFont="1" applyFill="1" applyBorder="1" applyAlignment="1">
      <alignment horizontal="center"/>
    </xf>
    <xf numFmtId="0" fontId="21" fillId="5" borderId="0" xfId="0" applyFont="1" applyFill="1" applyAlignment="1">
      <alignment horizontal="right"/>
    </xf>
    <xf numFmtId="0" fontId="0" fillId="17" borderId="0" xfId="0" applyFill="1" applyAlignment="1">
      <alignment horizontal="center"/>
    </xf>
    <xf numFmtId="0" fontId="0" fillId="23" borderId="0" xfId="0" applyFill="1"/>
    <xf numFmtId="0" fontId="8" fillId="5" borderId="0" xfId="0" applyFont="1" applyFill="1" applyBorder="1" applyAlignment="1">
      <alignment horizontal="right"/>
    </xf>
    <xf numFmtId="164" fontId="19" fillId="5" borderId="0" xfId="0" applyNumberFormat="1" applyFont="1" applyFill="1" applyBorder="1" applyAlignment="1">
      <alignment horizontal="center" vertical="center"/>
    </xf>
    <xf numFmtId="164" fontId="8" fillId="5" borderId="0" xfId="0" applyNumberFormat="1" applyFont="1" applyFill="1" applyBorder="1" applyAlignment="1">
      <alignment horizontal="center"/>
    </xf>
    <xf numFmtId="0" fontId="16" fillId="5" borderId="0" xfId="0" applyFont="1" applyFill="1" applyAlignment="1">
      <alignment horizontal="right"/>
    </xf>
    <xf numFmtId="0" fontId="19" fillId="5" borderId="0" xfId="0" applyFont="1" applyFill="1" applyAlignment="1">
      <alignment horizontal="right"/>
    </xf>
    <xf numFmtId="0" fontId="9" fillId="5" borderId="0" xfId="0" applyFont="1" applyFill="1" applyAlignment="1">
      <alignment horizontal="right"/>
    </xf>
    <xf numFmtId="0" fontId="41" fillId="5" borderId="0" xfId="0" applyFont="1" applyFill="1" applyAlignment="1">
      <alignment horizontal="center" vertical="center"/>
    </xf>
    <xf numFmtId="164" fontId="9" fillId="5" borderId="0" xfId="0" applyNumberFormat="1" applyFont="1" applyFill="1" applyAlignment="1">
      <alignment horizontal="center"/>
    </xf>
    <xf numFmtId="1" fontId="19" fillId="5" borderId="0" xfId="0" applyNumberFormat="1" applyFont="1" applyFill="1" applyAlignment="1">
      <alignment horizontal="right" vertical="top" wrapText="1"/>
    </xf>
    <xf numFmtId="0" fontId="12" fillId="5" borderId="0" xfId="0" applyFont="1" applyFill="1" applyAlignment="1">
      <alignment horizontal="left" vertical="top" wrapText="1"/>
    </xf>
    <xf numFmtId="0" fontId="12" fillId="5" borderId="0" xfId="0" applyFont="1" applyFill="1" applyAlignment="1">
      <alignment horizontal="left" vertical="top"/>
    </xf>
    <xf numFmtId="0" fontId="35" fillId="23" borderId="0" xfId="0" applyFont="1" applyFill="1" applyAlignment="1">
      <alignment horizontal="left" wrapText="1"/>
    </xf>
    <xf numFmtId="0" fontId="35" fillId="23" borderId="0" xfId="0" applyFont="1" applyFill="1" applyAlignment="1">
      <alignment horizontal="center" vertical="center"/>
    </xf>
    <xf numFmtId="3" fontId="35" fillId="23" borderId="0" xfId="0" applyNumberFormat="1" applyFont="1" applyFill="1" applyAlignment="1">
      <alignment horizontal="center"/>
    </xf>
    <xf numFmtId="0" fontId="0" fillId="23" borderId="0" xfId="0" applyFill="1" applyAlignment="1">
      <alignment horizontal="center"/>
    </xf>
    <xf numFmtId="0" fontId="35" fillId="23" borderId="0" xfId="0" applyFont="1" applyFill="1" applyAlignment="1">
      <alignment horizontal="left"/>
    </xf>
    <xf numFmtId="164" fontId="35" fillId="23" borderId="0" xfId="0" applyNumberFormat="1" applyFont="1" applyFill="1" applyAlignment="1">
      <alignment horizontal="center"/>
    </xf>
    <xf numFmtId="0" fontId="35" fillId="23" borderId="15" xfId="0" applyFont="1" applyFill="1" applyBorder="1" applyAlignment="1">
      <alignment horizontal="left"/>
    </xf>
    <xf numFmtId="0" fontId="35" fillId="23" borderId="15" xfId="0" applyFont="1" applyFill="1" applyBorder="1" applyAlignment="1">
      <alignment horizontal="center" vertical="center"/>
    </xf>
    <xf numFmtId="164" fontId="35" fillId="23" borderId="15" xfId="0" applyNumberFormat="1" applyFont="1" applyFill="1" applyBorder="1" applyAlignment="1">
      <alignment horizontal="center"/>
    </xf>
    <xf numFmtId="0" fontId="0" fillId="23" borderId="15" xfId="0" applyFill="1" applyBorder="1" applyAlignment="1">
      <alignment horizontal="center"/>
    </xf>
    <xf numFmtId="0" fontId="12" fillId="23" borderId="0" xfId="0" applyFont="1" applyFill="1" applyAlignment="1">
      <alignment vertical="center"/>
    </xf>
    <xf numFmtId="165" fontId="0" fillId="23" borderId="0" xfId="0" applyNumberFormat="1" applyFont="1" applyFill="1" applyAlignment="1">
      <alignment horizontal="center" vertical="center"/>
    </xf>
    <xf numFmtId="0" fontId="0" fillId="23" borderId="0" xfId="0" applyFont="1" applyFill="1" applyAlignment="1">
      <alignment horizontal="center"/>
    </xf>
    <xf numFmtId="3" fontId="0" fillId="23" borderId="0" xfId="0" applyNumberFormat="1" applyFont="1" applyFill="1" applyAlignment="1">
      <alignment horizontal="center" vertical="center"/>
    </xf>
    <xf numFmtId="0" fontId="0" fillId="23" borderId="0" xfId="0" applyFont="1" applyFill="1" applyAlignment="1">
      <alignment horizontal="left"/>
    </xf>
    <xf numFmtId="0" fontId="19" fillId="23" borderId="0" xfId="0" applyFont="1" applyFill="1" applyAlignment="1">
      <alignment vertical="center"/>
    </xf>
    <xf numFmtId="0" fontId="0" fillId="23" borderId="0" xfId="0" applyFill="1" applyAlignment="1">
      <alignment horizontal="right"/>
    </xf>
    <xf numFmtId="0" fontId="0" fillId="23" borderId="0" xfId="0" applyFont="1" applyFill="1"/>
    <xf numFmtId="0" fontId="20" fillId="23" borderId="0" xfId="1" applyFill="1" applyAlignment="1">
      <alignment horizontal="center"/>
    </xf>
    <xf numFmtId="0" fontId="12" fillId="23" borderId="0" xfId="0" applyFont="1" applyFill="1" applyAlignment="1">
      <alignment horizontal="right" vertical="center"/>
    </xf>
    <xf numFmtId="166" fontId="0" fillId="23" borderId="0" xfId="0" applyNumberFormat="1" applyFill="1" applyAlignment="1">
      <alignment horizontal="center" vertical="center"/>
    </xf>
    <xf numFmtId="0" fontId="0" fillId="23" borderId="0" xfId="0" applyFill="1" applyAlignment="1">
      <alignment horizontal="left"/>
    </xf>
    <xf numFmtId="164" fontId="0" fillId="23" borderId="0" xfId="0" applyNumberFormat="1" applyFill="1" applyAlignment="1">
      <alignment horizontal="center" vertical="center"/>
    </xf>
    <xf numFmtId="0" fontId="19" fillId="23" borderId="0" xfId="0" applyFont="1" applyFill="1" applyAlignment="1">
      <alignment horizontal="right" vertical="center"/>
    </xf>
    <xf numFmtId="164" fontId="19" fillId="23" borderId="0" xfId="0" applyNumberFormat="1" applyFont="1" applyFill="1" applyAlignment="1">
      <alignment horizontal="center" vertical="center"/>
    </xf>
    <xf numFmtId="0" fontId="19" fillId="23" borderId="0" xfId="0" applyFont="1" applyFill="1" applyAlignment="1">
      <alignment horizontal="left" vertical="center"/>
    </xf>
    <xf numFmtId="167" fontId="0" fillId="23" borderId="0" xfId="0" applyNumberFormat="1" applyFill="1" applyAlignment="1">
      <alignment horizontal="center" vertical="center"/>
    </xf>
    <xf numFmtId="4" fontId="0" fillId="23" borderId="0" xfId="0" applyNumberFormat="1" applyFill="1" applyAlignment="1">
      <alignment horizontal="center" vertical="center"/>
    </xf>
    <xf numFmtId="0" fontId="9" fillId="23" borderId="0" xfId="0" applyFont="1" applyFill="1" applyAlignment="1">
      <alignment horizontal="right" vertical="center"/>
    </xf>
    <xf numFmtId="0" fontId="9" fillId="23" borderId="15" xfId="0" applyFont="1" applyFill="1" applyBorder="1" applyAlignment="1">
      <alignment horizontal="right" vertical="center"/>
    </xf>
    <xf numFmtId="165" fontId="9" fillId="23" borderId="15" xfId="0" applyNumberFormat="1" applyFont="1" applyFill="1" applyBorder="1" applyAlignment="1">
      <alignment horizontal="center" vertical="center"/>
    </xf>
    <xf numFmtId="0" fontId="0" fillId="23" borderId="15" xfId="0" applyFill="1" applyBorder="1" applyAlignment="1">
      <alignment horizontal="left"/>
    </xf>
    <xf numFmtId="0" fontId="0" fillId="23" borderId="15" xfId="0" applyFont="1" applyFill="1" applyBorder="1" applyAlignment="1">
      <alignment horizontal="left"/>
    </xf>
    <xf numFmtId="0" fontId="0" fillId="23" borderId="0" xfId="0" applyFill="1" applyAlignment="1">
      <alignment horizontal="center" vertical="center"/>
    </xf>
    <xf numFmtId="0" fontId="19" fillId="23" borderId="0" xfId="0" applyFont="1" applyFill="1"/>
    <xf numFmtId="0" fontId="0" fillId="23" borderId="0" xfId="0" applyFill="1" applyBorder="1" applyAlignment="1">
      <alignment horizontal="center"/>
    </xf>
    <xf numFmtId="0" fontId="0" fillId="23" borderId="0" xfId="0" applyFill="1" applyAlignment="1"/>
    <xf numFmtId="8" fontId="0" fillId="23" borderId="0" xfId="0" quotePrefix="1" applyNumberFormat="1" applyFill="1" applyAlignment="1">
      <alignment horizontal="center" vertical="center"/>
    </xf>
    <xf numFmtId="6" fontId="8" fillId="23" borderId="0" xfId="0" applyNumberFormat="1" applyFont="1" applyFill="1" applyAlignment="1">
      <alignment horizontal="center" vertical="center"/>
    </xf>
    <xf numFmtId="8" fontId="0" fillId="23" borderId="0" xfId="0" applyNumberFormat="1" applyFill="1" applyAlignment="1">
      <alignment horizontal="center" vertical="center"/>
    </xf>
    <xf numFmtId="3" fontId="0" fillId="23" borderId="0" xfId="0" applyNumberFormat="1" applyFill="1" applyAlignment="1">
      <alignment horizontal="center" vertical="center"/>
    </xf>
    <xf numFmtId="4" fontId="0" fillId="23" borderId="0" xfId="0" applyNumberFormat="1" applyFont="1" applyFill="1" applyAlignment="1">
      <alignment horizontal="center" vertical="center"/>
    </xf>
    <xf numFmtId="0" fontId="12" fillId="23" borderId="15" xfId="0" applyFont="1" applyFill="1" applyBorder="1" applyAlignment="1">
      <alignment vertical="center"/>
    </xf>
    <xf numFmtId="164" fontId="0" fillId="23" borderId="15" xfId="0" applyNumberFormat="1" applyFont="1" applyFill="1" applyBorder="1" applyAlignment="1">
      <alignment horizontal="center" vertical="center"/>
    </xf>
    <xf numFmtId="0" fontId="9" fillId="17" borderId="0" xfId="0" applyFont="1" applyFill="1" applyAlignment="1">
      <alignment horizontal="center" vertical="center"/>
    </xf>
    <xf numFmtId="165" fontId="8" fillId="0" borderId="0" xfId="0" applyNumberFormat="1" applyFont="1"/>
    <xf numFmtId="0" fontId="14" fillId="23" borderId="0" xfId="0" applyFont="1" applyFill="1" applyAlignment="1">
      <alignment horizontal="left"/>
    </xf>
    <xf numFmtId="0" fontId="9" fillId="0" borderId="0" xfId="0" applyFont="1" applyAlignment="1">
      <alignment horizontal="left"/>
    </xf>
    <xf numFmtId="0" fontId="67" fillId="0" borderId="0" xfId="0" applyFont="1" applyAlignment="1">
      <alignment vertical="center" wrapText="1"/>
    </xf>
    <xf numFmtId="0" fontId="68" fillId="0" borderId="0" xfId="0" applyFont="1"/>
    <xf numFmtId="6" fontId="0" fillId="5" borderId="0" xfId="0" applyNumberFormat="1" applyFill="1" applyAlignment="1">
      <alignment horizontal="center" vertical="center"/>
    </xf>
    <xf numFmtId="8" fontId="0" fillId="5" borderId="0" xfId="0" applyNumberFormat="1" applyFill="1" applyAlignment="1">
      <alignment horizontal="center" vertical="center"/>
    </xf>
    <xf numFmtId="0" fontId="12" fillId="16" borderId="0" xfId="0" applyFont="1" applyFill="1" applyAlignment="1">
      <alignment horizontal="left" vertical="top" wrapText="1"/>
    </xf>
    <xf numFmtId="14" fontId="1" fillId="19" borderId="4" xfId="0" applyNumberFormat="1" applyFont="1" applyFill="1" applyBorder="1" applyAlignment="1">
      <alignment horizontal="center" vertical="center" wrapText="1"/>
    </xf>
    <xf numFmtId="0" fontId="4" fillId="19" borderId="23" xfId="0" applyFont="1" applyFill="1" applyBorder="1" applyAlignment="1">
      <alignment vertical="center" wrapText="1"/>
    </xf>
    <xf numFmtId="0" fontId="72" fillId="19" borderId="14" xfId="0" applyFont="1" applyFill="1" applyBorder="1" applyAlignment="1">
      <alignment horizontal="center" vertical="center" wrapText="1"/>
    </xf>
    <xf numFmtId="0" fontId="68" fillId="0" borderId="14" xfId="0" applyFont="1" applyBorder="1" applyAlignment="1">
      <alignment horizontal="center"/>
    </xf>
    <xf numFmtId="0" fontId="69" fillId="26" borderId="0" xfId="5"/>
    <xf numFmtId="0" fontId="31" fillId="16" borderId="15" xfId="0" applyFont="1" applyFill="1" applyBorder="1" applyAlignment="1">
      <alignment horizontal="left" vertical="top" wrapText="1"/>
    </xf>
    <xf numFmtId="0" fontId="77" fillId="2" borderId="15" xfId="0" applyFont="1" applyFill="1" applyBorder="1" applyAlignment="1">
      <alignment horizontal="center"/>
    </xf>
    <xf numFmtId="0" fontId="9" fillId="16" borderId="16" xfId="0" applyFont="1" applyFill="1" applyBorder="1" applyAlignment="1">
      <alignment horizontal="right"/>
    </xf>
    <xf numFmtId="164" fontId="9" fillId="16" borderId="16" xfId="0" applyNumberFormat="1" applyFont="1" applyFill="1" applyBorder="1" applyAlignment="1">
      <alignment horizontal="center" vertical="center"/>
    </xf>
    <xf numFmtId="164" fontId="9" fillId="16" borderId="16" xfId="0" applyNumberFormat="1" applyFont="1" applyFill="1" applyBorder="1" applyAlignment="1">
      <alignment horizontal="center"/>
    </xf>
    <xf numFmtId="0" fontId="9" fillId="16" borderId="16" xfId="0" applyFont="1" applyFill="1" applyBorder="1" applyAlignment="1">
      <alignment horizontal="center"/>
    </xf>
    <xf numFmtId="0" fontId="77" fillId="2" borderId="16" xfId="0" applyFont="1" applyFill="1" applyBorder="1" applyAlignment="1">
      <alignment horizontal="center"/>
    </xf>
    <xf numFmtId="0" fontId="12" fillId="10" borderId="0" xfId="0" applyFont="1" applyFill="1" applyAlignment="1">
      <alignment horizontal="left" vertical="top" wrapText="1"/>
    </xf>
    <xf numFmtId="9" fontId="12" fillId="10" borderId="0" xfId="0" applyNumberFormat="1" applyFont="1" applyFill="1" applyAlignment="1">
      <alignment horizontal="right" vertical="top" wrapText="1"/>
    </xf>
    <xf numFmtId="2" fontId="12" fillId="10" borderId="0" xfId="0" applyNumberFormat="1" applyFont="1" applyFill="1" applyAlignment="1">
      <alignment horizontal="right" vertical="top" wrapText="1"/>
    </xf>
    <xf numFmtId="0" fontId="19" fillId="16" borderId="0" xfId="0" applyFont="1" applyFill="1" applyAlignment="1">
      <alignment horizontal="left" vertical="top" wrapText="1"/>
    </xf>
    <xf numFmtId="0" fontId="31" fillId="16" borderId="0" xfId="0" applyFont="1" applyFill="1" applyAlignment="1">
      <alignment horizontal="left" vertical="top" wrapText="1"/>
    </xf>
    <xf numFmtId="3" fontId="35" fillId="2" borderId="0" xfId="0" applyNumberFormat="1" applyFont="1" applyFill="1" applyAlignment="1">
      <alignment horizontal="center"/>
    </xf>
    <xf numFmtId="3" fontId="9" fillId="29" borderId="0" xfId="8" applyNumberFormat="1" applyFont="1" applyAlignment="1">
      <alignment horizontal="center" vertical="center"/>
    </xf>
    <xf numFmtId="0" fontId="9" fillId="23" borderId="0" xfId="0" applyFont="1" applyFill="1" applyAlignment="1">
      <alignment horizontal="left"/>
    </xf>
    <xf numFmtId="0" fontId="52" fillId="23" borderId="0" xfId="0" applyFont="1" applyFill="1" applyAlignment="1">
      <alignment horizontal="left"/>
    </xf>
    <xf numFmtId="6" fontId="72" fillId="19" borderId="14" xfId="0" applyNumberFormat="1" applyFont="1" applyFill="1" applyBorder="1" applyAlignment="1">
      <alignment horizontal="right" vertical="center" wrapText="1"/>
    </xf>
    <xf numFmtId="10" fontId="69" fillId="26" borderId="0" xfId="5" applyNumberFormat="1"/>
    <xf numFmtId="10" fontId="0" fillId="17" borderId="0" xfId="0" applyNumberFormat="1" applyFill="1"/>
    <xf numFmtId="169" fontId="0" fillId="17" borderId="0" xfId="0" applyNumberFormat="1" applyFill="1"/>
    <xf numFmtId="169" fontId="0" fillId="17" borderId="0" xfId="2" applyNumberFormat="1" applyFont="1" applyFill="1"/>
    <xf numFmtId="0" fontId="80" fillId="26" borderId="0" xfId="5" applyFont="1" applyAlignment="1">
      <alignment horizontal="center" wrapText="1"/>
    </xf>
    <xf numFmtId="2" fontId="80" fillId="26" borderId="0" xfId="5" applyNumberFormat="1" applyFont="1" applyAlignment="1">
      <alignment vertical="top"/>
    </xf>
    <xf numFmtId="0" fontId="1" fillId="23" borderId="1" xfId="0" applyFont="1" applyFill="1" applyBorder="1" applyAlignment="1">
      <alignment horizontal="right" vertical="center" wrapText="1"/>
    </xf>
    <xf numFmtId="0" fontId="1" fillId="23" borderId="10" xfId="0" applyFont="1" applyFill="1" applyBorder="1" applyAlignment="1">
      <alignment horizontal="right" vertical="center" wrapText="1"/>
    </xf>
    <xf numFmtId="171" fontId="68" fillId="23" borderId="14" xfId="4" applyNumberFormat="1" applyFont="1" applyFill="1" applyBorder="1" applyAlignment="1">
      <alignment horizontal="center"/>
    </xf>
    <xf numFmtId="171" fontId="31" fillId="23" borderId="0" xfId="9" applyNumberFormat="1" applyFont="1" applyFill="1" applyAlignment="1">
      <alignment horizontal="right" vertical="top"/>
    </xf>
    <xf numFmtId="1" fontId="31" fillId="17" borderId="15" xfId="0" applyNumberFormat="1" applyFont="1" applyFill="1" applyBorder="1" applyAlignment="1">
      <alignment horizontal="right" vertical="top" wrapText="1"/>
    </xf>
    <xf numFmtId="0" fontId="0" fillId="18" borderId="0" xfId="0" applyFill="1" applyAlignment="1">
      <alignment horizontal="center"/>
    </xf>
    <xf numFmtId="0" fontId="75" fillId="18" borderId="27" xfId="7" applyFont="1" applyFill="1" applyBorder="1"/>
    <xf numFmtId="0" fontId="75" fillId="18" borderId="0" xfId="7" applyFont="1" applyFill="1" applyBorder="1"/>
    <xf numFmtId="0" fontId="75" fillId="18" borderId="28" xfId="7" applyFont="1" applyFill="1" applyBorder="1"/>
    <xf numFmtId="0" fontId="9" fillId="27" borderId="27" xfId="6" applyFont="1" applyBorder="1"/>
    <xf numFmtId="10" fontId="9" fillId="27" borderId="0" xfId="6" applyNumberFormat="1" applyFont="1" applyBorder="1"/>
    <xf numFmtId="9" fontId="9" fillId="27" borderId="28" xfId="6" applyNumberFormat="1" applyFont="1" applyBorder="1"/>
    <xf numFmtId="0" fontId="76" fillId="26" borderId="27" xfId="5" applyFont="1" applyBorder="1"/>
    <xf numFmtId="10" fontId="76" fillId="26" borderId="0" xfId="5" applyNumberFormat="1" applyFont="1" applyBorder="1"/>
    <xf numFmtId="9" fontId="76" fillId="26" borderId="28" xfId="5" applyNumberFormat="1" applyFont="1" applyBorder="1"/>
    <xf numFmtId="0" fontId="9" fillId="27" borderId="29" xfId="6" applyFont="1" applyBorder="1"/>
    <xf numFmtId="9" fontId="9" fillId="27" borderId="30" xfId="2" applyFont="1" applyFill="1" applyBorder="1"/>
    <xf numFmtId="9" fontId="9" fillId="27" borderId="31" xfId="2" applyFont="1" applyFill="1" applyBorder="1"/>
    <xf numFmtId="9" fontId="31" fillId="30" borderId="0" xfId="9" applyNumberFormat="1" applyFont="1" applyAlignment="1">
      <alignment horizontal="right" vertical="top" wrapText="1"/>
    </xf>
    <xf numFmtId="0" fontId="81" fillId="16" borderId="0" xfId="0" quotePrefix="1" applyFont="1" applyFill="1" applyAlignment="1">
      <alignment horizontal="left" vertical="top" wrapText="1"/>
    </xf>
    <xf numFmtId="3" fontId="9" fillId="18" borderId="0" xfId="0" applyNumberFormat="1" applyFont="1" applyFill="1" applyAlignment="1">
      <alignment horizontal="center" vertical="center"/>
    </xf>
    <xf numFmtId="0" fontId="33" fillId="0" borderId="0" xfId="0" applyFont="1" applyFill="1" applyBorder="1" applyAlignment="1">
      <alignment horizontal="left" vertical="center"/>
    </xf>
    <xf numFmtId="0" fontId="21" fillId="0" borderId="0" xfId="0" applyFont="1" applyFill="1" applyBorder="1" applyAlignment="1">
      <alignment horizontal="left" vertical="center"/>
    </xf>
    <xf numFmtId="0" fontId="82" fillId="23" borderId="0" xfId="0" applyFont="1" applyFill="1" applyBorder="1" applyAlignment="1">
      <alignment horizontal="left" vertical="center"/>
    </xf>
    <xf numFmtId="0" fontId="82" fillId="18" borderId="0" xfId="0" applyFont="1" applyFill="1" applyBorder="1" applyAlignment="1">
      <alignment horizontal="left" vertical="center"/>
    </xf>
    <xf numFmtId="0" fontId="43" fillId="8" borderId="0" xfId="0" applyFont="1" applyFill="1" applyAlignment="1">
      <alignment vertical="center"/>
    </xf>
    <xf numFmtId="164" fontId="19" fillId="8" borderId="0" xfId="0" applyNumberFormat="1" applyFont="1" applyFill="1" applyBorder="1" applyAlignment="1">
      <alignment horizontal="center" vertical="center"/>
    </xf>
    <xf numFmtId="0" fontId="0" fillId="8" borderId="0" xfId="0" applyFill="1" applyAlignment="1">
      <alignment horizontal="left"/>
    </xf>
    <xf numFmtId="0" fontId="0" fillId="8" borderId="0" xfId="0" applyFill="1" applyAlignment="1">
      <alignment horizontal="center"/>
    </xf>
    <xf numFmtId="0" fontId="32" fillId="17" borderId="0" xfId="0" applyFont="1" applyFill="1" applyAlignment="1">
      <alignment horizontal="right" wrapText="1"/>
    </xf>
    <xf numFmtId="0" fontId="0" fillId="8" borderId="0" xfId="0" applyFill="1" applyAlignment="1">
      <alignment horizontal="center" vertical="center"/>
    </xf>
    <xf numFmtId="0" fontId="19" fillId="23" borderId="15" xfId="0" applyFont="1" applyFill="1" applyBorder="1"/>
    <xf numFmtId="6" fontId="9" fillId="18" borderId="0" xfId="0" applyNumberFormat="1" applyFont="1" applyFill="1" applyBorder="1" applyAlignment="1">
      <alignment horizontal="center" vertical="center"/>
    </xf>
    <xf numFmtId="0" fontId="9" fillId="18" borderId="0" xfId="0" applyFont="1" applyFill="1" applyAlignment="1">
      <alignment horizontal="right"/>
    </xf>
    <xf numFmtId="0" fontId="19" fillId="0" borderId="0" xfId="0" applyFont="1"/>
    <xf numFmtId="0" fontId="12" fillId="0" borderId="0" xfId="10" applyAlignment="1">
      <alignment horizontal="right"/>
    </xf>
    <xf numFmtId="0" fontId="12" fillId="0" borderId="0" xfId="10"/>
    <xf numFmtId="0" fontId="42" fillId="8" borderId="0" xfId="10" applyFont="1" applyFill="1" applyBorder="1" applyAlignment="1">
      <alignment vertical="center"/>
    </xf>
    <xf numFmtId="0" fontId="84" fillId="8" borderId="0" xfId="10" applyFont="1" applyFill="1" applyBorder="1" applyAlignment="1">
      <alignment vertical="center"/>
    </xf>
    <xf numFmtId="171" fontId="84" fillId="8" borderId="0" xfId="11" applyNumberFormat="1" applyFont="1" applyFill="1" applyBorder="1" applyAlignment="1">
      <alignment vertical="center"/>
    </xf>
    <xf numFmtId="0" fontId="84" fillId="8" borderId="0" xfId="10" applyFont="1" applyFill="1" applyAlignment="1">
      <alignment vertical="center"/>
    </xf>
    <xf numFmtId="172" fontId="85" fillId="8" borderId="0" xfId="12" applyNumberFormat="1" applyFont="1" applyFill="1" applyAlignment="1">
      <alignment vertical="center"/>
    </xf>
    <xf numFmtId="9" fontId="84" fillId="8" borderId="0" xfId="10" applyNumberFormat="1" applyFont="1" applyFill="1" applyAlignment="1">
      <alignment horizontal="left" vertical="center"/>
    </xf>
    <xf numFmtId="0" fontId="78" fillId="8" borderId="0" xfId="10" applyFont="1" applyFill="1" applyAlignment="1">
      <alignment vertical="center"/>
    </xf>
    <xf numFmtId="0" fontId="78" fillId="0" borderId="0" xfId="10" applyFont="1" applyAlignment="1">
      <alignment vertical="center"/>
    </xf>
    <xf numFmtId="0" fontId="31" fillId="2" borderId="0" xfId="10" applyFont="1" applyFill="1" applyAlignment="1">
      <alignment vertical="center"/>
    </xf>
    <xf numFmtId="0" fontId="86" fillId="32" borderId="0" xfId="10" applyFont="1" applyFill="1" applyAlignment="1">
      <alignment vertical="center"/>
    </xf>
    <xf numFmtId="5" fontId="8" fillId="2" borderId="0" xfId="10" applyNumberFormat="1" applyFont="1" applyFill="1" applyBorder="1" applyAlignment="1">
      <alignment horizontal="right" vertical="center"/>
    </xf>
    <xf numFmtId="0" fontId="8" fillId="2" borderId="0" xfId="10" quotePrefix="1" applyFont="1" applyFill="1"/>
    <xf numFmtId="0" fontId="8" fillId="3" borderId="0" xfId="10" applyFont="1" applyFill="1"/>
    <xf numFmtId="0" fontId="12" fillId="3" borderId="0" xfId="10" applyFont="1" applyFill="1"/>
    <xf numFmtId="171" fontId="28" fillId="33" borderId="0" xfId="11" applyNumberFormat="1" applyFont="1" applyFill="1"/>
    <xf numFmtId="0" fontId="28" fillId="34" borderId="0" xfId="10" applyFont="1" applyFill="1"/>
    <xf numFmtId="0" fontId="12" fillId="3" borderId="0" xfId="10" applyFont="1" applyFill="1" applyAlignment="1">
      <alignment horizontal="center"/>
    </xf>
    <xf numFmtId="0" fontId="8" fillId="24" borderId="0" xfId="10" applyFont="1" applyFill="1"/>
    <xf numFmtId="0" fontId="26" fillId="24" borderId="0" xfId="10" applyFont="1" applyFill="1"/>
    <xf numFmtId="164" fontId="8" fillId="11" borderId="0" xfId="10" applyNumberFormat="1" applyFont="1" applyFill="1"/>
    <xf numFmtId="0" fontId="12" fillId="24" borderId="0" xfId="10" applyFont="1" applyFill="1"/>
    <xf numFmtId="0" fontId="19" fillId="24" borderId="0" xfId="10" applyFont="1" applyFill="1"/>
    <xf numFmtId="164" fontId="19" fillId="11" borderId="0" xfId="10" applyNumberFormat="1" applyFont="1" applyFill="1"/>
    <xf numFmtId="164" fontId="8" fillId="2" borderId="0" xfId="10" applyNumberFormat="1" applyFont="1" applyFill="1" applyBorder="1" applyAlignment="1">
      <alignment horizontal="right" vertical="center"/>
    </xf>
    <xf numFmtId="0" fontId="8" fillId="24" borderId="15" xfId="10" applyFont="1" applyFill="1" applyBorder="1"/>
    <xf numFmtId="0" fontId="26" fillId="24" borderId="15" xfId="10" applyFont="1" applyFill="1" applyBorder="1"/>
    <xf numFmtId="164" fontId="8" fillId="11" borderId="15" xfId="10" applyNumberFormat="1" applyFont="1" applyFill="1" applyBorder="1" applyAlignment="1">
      <alignment horizontal="right"/>
    </xf>
    <xf numFmtId="0" fontId="19" fillId="24" borderId="15" xfId="10" applyFont="1" applyFill="1" applyBorder="1"/>
    <xf numFmtId="164" fontId="19" fillId="11" borderId="15" xfId="10" applyNumberFormat="1" applyFont="1" applyFill="1" applyBorder="1"/>
    <xf numFmtId="9" fontId="68" fillId="11" borderId="0" xfId="10" applyNumberFormat="1" applyFont="1" applyFill="1"/>
    <xf numFmtId="171" fontId="8" fillId="3" borderId="0" xfId="11" applyNumberFormat="1" applyFont="1" applyFill="1" applyBorder="1"/>
    <xf numFmtId="164" fontId="8" fillId="24" borderId="0" xfId="10" applyNumberFormat="1" applyFont="1" applyFill="1" applyAlignment="1">
      <alignment horizontal="right"/>
    </xf>
    <xf numFmtId="164" fontId="19" fillId="24" borderId="0" xfId="10" applyNumberFormat="1" applyFont="1" applyFill="1"/>
    <xf numFmtId="171" fontId="8" fillId="23" borderId="15" xfId="11" applyNumberFormat="1" applyFont="1" applyFill="1" applyBorder="1"/>
    <xf numFmtId="0" fontId="8" fillId="3" borderId="0" xfId="10" quotePrefix="1" applyFont="1" applyFill="1"/>
    <xf numFmtId="164" fontId="8" fillId="3" borderId="0" xfId="10" quotePrefix="1" applyNumberFormat="1" applyFont="1" applyFill="1" applyAlignment="1">
      <alignment horizontal="center"/>
    </xf>
    <xf numFmtId="0" fontId="8" fillId="24" borderId="0" xfId="10" quotePrefix="1" applyFont="1" applyFill="1"/>
    <xf numFmtId="165" fontId="8" fillId="24" borderId="0" xfId="10" quotePrefix="1" applyNumberFormat="1" applyFont="1" applyFill="1"/>
    <xf numFmtId="0" fontId="19" fillId="3" borderId="0" xfId="10" applyFont="1" applyFill="1" applyAlignment="1">
      <alignment horizontal="right"/>
    </xf>
    <xf numFmtId="171" fontId="8" fillId="3" borderId="0" xfId="11" applyNumberFormat="1" applyFont="1" applyFill="1"/>
    <xf numFmtId="0" fontId="87" fillId="3" borderId="0" xfId="10" quotePrefix="1" applyFont="1" applyFill="1"/>
    <xf numFmtId="164" fontId="8" fillId="5" borderId="0" xfId="10" quotePrefix="1" applyNumberFormat="1" applyFont="1" applyFill="1"/>
    <xf numFmtId="0" fontId="68" fillId="24" borderId="0" xfId="10" applyFont="1" applyFill="1"/>
    <xf numFmtId="3" fontId="8" fillId="10" borderId="0" xfId="10" applyNumberFormat="1" applyFont="1" applyFill="1" applyBorder="1" applyAlignment="1"/>
    <xf numFmtId="0" fontId="12" fillId="10" borderId="0" xfId="10" applyFont="1" applyFill="1" applyBorder="1"/>
    <xf numFmtId="171" fontId="0" fillId="10" borderId="0" xfId="11" applyNumberFormat="1" applyFont="1" applyFill="1" applyBorder="1"/>
    <xf numFmtId="164" fontId="8" fillId="10" borderId="0" xfId="10" applyNumberFormat="1" applyFont="1" applyFill="1"/>
    <xf numFmtId="3" fontId="8" fillId="10" borderId="0" xfId="10" applyNumberFormat="1" applyFont="1" applyFill="1" applyAlignment="1"/>
    <xf numFmtId="0" fontId="12" fillId="10" borderId="0" xfId="10" applyFont="1" applyFill="1"/>
    <xf numFmtId="171" fontId="8" fillId="10" borderId="0" xfId="11" applyNumberFormat="1" applyFont="1" applyFill="1"/>
    <xf numFmtId="9" fontId="12" fillId="0" borderId="0" xfId="10" applyNumberFormat="1"/>
    <xf numFmtId="0" fontId="8" fillId="10" borderId="0" xfId="10" applyFont="1" applyFill="1"/>
    <xf numFmtId="171" fontId="8" fillId="17" borderId="15" xfId="11" applyNumberFormat="1" applyFont="1" applyFill="1" applyBorder="1"/>
    <xf numFmtId="170" fontId="8" fillId="10" borderId="0" xfId="13" applyNumberFormat="1" applyFont="1" applyFill="1" applyAlignment="1">
      <alignment horizontal="left"/>
    </xf>
    <xf numFmtId="0" fontId="8" fillId="10" borderId="0" xfId="10" applyFont="1" applyFill="1" applyAlignment="1"/>
    <xf numFmtId="171" fontId="8" fillId="7" borderId="0" xfId="11" applyNumberFormat="1" applyFont="1" applyFill="1"/>
    <xf numFmtId="0" fontId="8" fillId="10" borderId="0" xfId="10" applyFont="1" applyFill="1" applyBorder="1"/>
    <xf numFmtId="171" fontId="8" fillId="10" borderId="15" xfId="11" applyNumberFormat="1" applyFont="1" applyFill="1" applyBorder="1"/>
    <xf numFmtId="0" fontId="8" fillId="23" borderId="0" xfId="10" applyFont="1" applyFill="1"/>
    <xf numFmtId="167" fontId="8" fillId="23" borderId="0" xfId="10" applyNumberFormat="1" applyFont="1" applyFill="1" applyAlignment="1">
      <alignment horizontal="right"/>
    </xf>
    <xf numFmtId="8" fontId="8" fillId="10" borderId="0" xfId="10" applyNumberFormat="1" applyFont="1" applyFill="1"/>
    <xf numFmtId="6" fontId="8" fillId="10" borderId="0" xfId="10" applyNumberFormat="1" applyFont="1" applyFill="1"/>
    <xf numFmtId="171" fontId="8" fillId="10" borderId="0" xfId="11" applyNumberFormat="1" applyFont="1" applyFill="1" applyAlignment="1">
      <alignment horizontal="right"/>
    </xf>
    <xf numFmtId="0" fontId="88" fillId="0" borderId="0" xfId="10" applyFont="1"/>
    <xf numFmtId="9" fontId="8" fillId="10" borderId="0" xfId="10" applyNumberFormat="1" applyFont="1" applyFill="1" applyAlignment="1">
      <alignment horizontal="right"/>
    </xf>
    <xf numFmtId="0" fontId="8" fillId="10" borderId="0" xfId="10" quotePrefix="1" applyFont="1" applyFill="1"/>
    <xf numFmtId="6" fontId="8" fillId="10" borderId="0" xfId="10" applyNumberFormat="1" applyFont="1" applyFill="1" applyBorder="1"/>
    <xf numFmtId="0" fontId="12" fillId="10" borderId="0" xfId="10" applyFill="1"/>
    <xf numFmtId="167" fontId="19" fillId="23" borderId="0" xfId="10" applyNumberFormat="1" applyFont="1" applyFill="1"/>
    <xf numFmtId="0" fontId="19" fillId="10" borderId="0" xfId="10" applyFont="1" applyFill="1"/>
    <xf numFmtId="6" fontId="8" fillId="10" borderId="0" xfId="10" quotePrefix="1" applyNumberFormat="1" applyFont="1" applyFill="1"/>
    <xf numFmtId="171" fontId="19" fillId="10" borderId="0" xfId="11" applyNumberFormat="1" applyFont="1" applyFill="1"/>
    <xf numFmtId="0" fontId="12" fillId="12" borderId="0" xfId="10" applyFill="1"/>
    <xf numFmtId="0" fontId="58" fillId="12" borderId="15" xfId="10" applyFont="1" applyFill="1" applyBorder="1" applyAlignment="1">
      <alignment horizontal="right"/>
    </xf>
    <xf numFmtId="0" fontId="58" fillId="31" borderId="15" xfId="10" applyFont="1" applyFill="1" applyBorder="1" applyAlignment="1">
      <alignment horizontal="right" wrapText="1"/>
    </xf>
    <xf numFmtId="171" fontId="58" fillId="12" borderId="15" xfId="11" applyNumberFormat="1" applyFont="1" applyFill="1" applyBorder="1" applyAlignment="1">
      <alignment horizontal="right" wrapText="1"/>
    </xf>
    <xf numFmtId="0" fontId="58" fillId="12" borderId="15" xfId="10" applyFont="1" applyFill="1" applyBorder="1" applyAlignment="1">
      <alignment horizontal="right" wrapText="1"/>
    </xf>
    <xf numFmtId="0" fontId="58" fillId="7" borderId="15" xfId="10" applyFont="1" applyFill="1" applyBorder="1" applyAlignment="1">
      <alignment horizontal="right" wrapText="1"/>
    </xf>
    <xf numFmtId="0" fontId="58" fillId="25" borderId="15" xfId="10" applyFont="1" applyFill="1" applyBorder="1" applyAlignment="1">
      <alignment horizontal="right" wrapText="1"/>
    </xf>
    <xf numFmtId="0" fontId="58" fillId="12" borderId="15" xfId="10" quotePrefix="1" applyFont="1" applyFill="1" applyBorder="1" applyAlignment="1">
      <alignment horizontal="right" wrapText="1"/>
    </xf>
    <xf numFmtId="0" fontId="8" fillId="12" borderId="0" xfId="10" quotePrefix="1" applyFont="1" applyFill="1"/>
    <xf numFmtId="0" fontId="12" fillId="0" borderId="0" xfId="10" applyBorder="1"/>
    <xf numFmtId="1" fontId="12" fillId="10" borderId="0" xfId="10" applyNumberFormat="1" applyFill="1"/>
    <xf numFmtId="6" fontId="12" fillId="31" borderId="0" xfId="10" applyNumberFormat="1" applyFill="1"/>
    <xf numFmtId="171" fontId="0" fillId="10" borderId="0" xfId="11" applyNumberFormat="1" applyFont="1" applyFill="1"/>
    <xf numFmtId="6" fontId="12" fillId="10" borderId="0" xfId="10" applyNumberFormat="1" applyFill="1"/>
    <xf numFmtId="6" fontId="12" fillId="7" borderId="0" xfId="10" applyNumberFormat="1" applyFill="1"/>
    <xf numFmtId="6" fontId="12" fillId="25" borderId="0" xfId="10" applyNumberFormat="1" applyFill="1"/>
    <xf numFmtId="167" fontId="8" fillId="10" borderId="0" xfId="13" quotePrefix="1" applyNumberFormat="1" applyFont="1" applyFill="1" applyAlignment="1">
      <alignment horizontal="right"/>
    </xf>
    <xf numFmtId="6" fontId="12" fillId="10" borderId="0" xfId="10" applyNumberFormat="1" applyFill="1" applyBorder="1"/>
    <xf numFmtId="6" fontId="12" fillId="5" borderId="0" xfId="10" applyNumberFormat="1" applyFill="1"/>
    <xf numFmtId="8" fontId="12" fillId="0" borderId="0" xfId="10" applyNumberFormat="1"/>
    <xf numFmtId="6" fontId="12" fillId="7" borderId="15" xfId="10" applyNumberFormat="1" applyFill="1" applyBorder="1"/>
    <xf numFmtId="6" fontId="12" fillId="5" borderId="15" xfId="10" applyNumberFormat="1" applyFill="1" applyBorder="1"/>
    <xf numFmtId="6" fontId="12" fillId="12" borderId="0" xfId="10" applyNumberFormat="1" applyFill="1"/>
    <xf numFmtId="171" fontId="8" fillId="12" borderId="0" xfId="11" applyNumberFormat="1" applyFont="1" applyFill="1"/>
    <xf numFmtId="164" fontId="8" fillId="12" borderId="0" xfId="10" applyNumberFormat="1" applyFont="1" applyFill="1"/>
    <xf numFmtId="164" fontId="8" fillId="35" borderId="0" xfId="10" applyNumberFormat="1" applyFont="1" applyFill="1"/>
    <xf numFmtId="164" fontId="19" fillId="12" borderId="0" xfId="10" applyNumberFormat="1" applyFont="1" applyFill="1" applyAlignment="1">
      <alignment horizontal="right" wrapText="1"/>
    </xf>
    <xf numFmtId="171" fontId="19" fillId="12" borderId="0" xfId="11" applyNumberFormat="1" applyFont="1" applyFill="1" applyAlignment="1"/>
    <xf numFmtId="164" fontId="19" fillId="12" borderId="0" xfId="10" applyNumberFormat="1" applyFont="1" applyFill="1" applyAlignment="1"/>
    <xf numFmtId="164" fontId="39" fillId="12" borderId="0" xfId="10" applyNumberFormat="1" applyFont="1" applyFill="1" applyAlignment="1">
      <alignment horizontal="right" wrapText="1"/>
    </xf>
    <xf numFmtId="164" fontId="39" fillId="12" borderId="0" xfId="10" applyNumberFormat="1" applyFont="1" applyFill="1"/>
    <xf numFmtId="164" fontId="19" fillId="35" borderId="0" xfId="10" applyNumberFormat="1" applyFont="1" applyFill="1" applyAlignment="1">
      <alignment horizontal="right" wrapText="1"/>
    </xf>
    <xf numFmtId="171" fontId="0" fillId="0" borderId="0" xfId="11" applyNumberFormat="1" applyFont="1"/>
    <xf numFmtId="164" fontId="12" fillId="0" borderId="0" xfId="10" applyNumberFormat="1"/>
    <xf numFmtId="3" fontId="0" fillId="18" borderId="0" xfId="0" applyNumberFormat="1" applyFont="1" applyFill="1" applyAlignment="1">
      <alignment horizontal="center" vertical="center"/>
    </xf>
    <xf numFmtId="164" fontId="19" fillId="18" borderId="15" xfId="0" applyNumberFormat="1" applyFont="1" applyFill="1" applyBorder="1" applyAlignment="1">
      <alignment horizontal="center" vertical="center"/>
    </xf>
    <xf numFmtId="6" fontId="8" fillId="18" borderId="15" xfId="0" applyNumberFormat="1" applyFont="1" applyFill="1" applyBorder="1" applyAlignment="1">
      <alignment horizontal="center" vertical="center"/>
    </xf>
    <xf numFmtId="8" fontId="8" fillId="18" borderId="15" xfId="0" applyNumberFormat="1" applyFont="1" applyFill="1" applyBorder="1" applyAlignment="1">
      <alignment horizontal="center" vertical="center"/>
    </xf>
    <xf numFmtId="3" fontId="35" fillId="18" borderId="0" xfId="0" applyNumberFormat="1" applyFont="1" applyFill="1" applyAlignment="1">
      <alignment horizontal="center"/>
    </xf>
    <xf numFmtId="164" fontId="21" fillId="18" borderId="0" xfId="0" applyNumberFormat="1" applyFont="1" applyFill="1" applyAlignment="1">
      <alignment horizontal="center"/>
    </xf>
    <xf numFmtId="164" fontId="19" fillId="18" borderId="0" xfId="0" applyNumberFormat="1" applyFont="1" applyFill="1" applyAlignment="1">
      <alignment horizontal="center"/>
    </xf>
    <xf numFmtId="164" fontId="0" fillId="18" borderId="0" xfId="0" applyNumberFormat="1" applyFill="1" applyAlignment="1">
      <alignment horizontal="center"/>
    </xf>
    <xf numFmtId="164" fontId="9" fillId="18" borderId="0" xfId="0" applyNumberFormat="1" applyFont="1" applyFill="1" applyAlignment="1">
      <alignment horizontal="center"/>
    </xf>
    <xf numFmtId="0" fontId="44" fillId="13" borderId="0" xfId="10" applyFont="1" applyFill="1" applyAlignment="1">
      <alignment horizontal="center"/>
    </xf>
    <xf numFmtId="0" fontId="23" fillId="14" borderId="0" xfId="10" applyFont="1" applyFill="1" applyBorder="1" applyAlignment="1">
      <alignment horizontal="center"/>
    </xf>
    <xf numFmtId="0" fontId="24" fillId="21" borderId="0" xfId="10" applyFont="1" applyFill="1" applyAlignment="1">
      <alignment horizontal="center"/>
    </xf>
    <xf numFmtId="0" fontId="12" fillId="16" borderId="0" xfId="0" applyFont="1" applyFill="1" applyAlignment="1">
      <alignment horizontal="left" vertical="top" wrapText="1"/>
    </xf>
    <xf numFmtId="0" fontId="21" fillId="15" borderId="0" xfId="0" applyFont="1" applyFill="1" applyAlignment="1">
      <alignment horizontal="center" vertical="center" wrapText="1"/>
    </xf>
    <xf numFmtId="0" fontId="37" fillId="15" borderId="0" xfId="0" applyFont="1" applyFill="1" applyAlignment="1">
      <alignment horizontal="center" vertical="center" wrapText="1"/>
    </xf>
    <xf numFmtId="0" fontId="35" fillId="15" borderId="0" xfId="0" applyFont="1" applyFill="1" applyAlignment="1">
      <alignment horizontal="left" vertical="top" wrapText="1"/>
    </xf>
    <xf numFmtId="0" fontId="12" fillId="15" borderId="0" xfId="0" applyFont="1" applyFill="1" applyAlignment="1">
      <alignment horizontal="left" vertical="center" wrapText="1"/>
    </xf>
    <xf numFmtId="0" fontId="12" fillId="16" borderId="0" xfId="0" applyFont="1" applyFill="1" applyAlignment="1">
      <alignment horizontal="left" vertical="top"/>
    </xf>
    <xf numFmtId="0" fontId="33" fillId="14" borderId="15" xfId="0" applyFont="1" applyFill="1" applyBorder="1" applyAlignment="1">
      <alignment horizontal="left" vertical="center"/>
    </xf>
    <xf numFmtId="0" fontId="21" fillId="0" borderId="0" xfId="0" applyFont="1" applyFill="1" applyAlignment="1">
      <alignment horizontal="left" vertical="center" wrapText="1"/>
    </xf>
    <xf numFmtId="0" fontId="34" fillId="0" borderId="0" xfId="0" applyFont="1" applyFill="1" applyAlignment="1">
      <alignment horizontal="left" vertical="center" wrapText="1"/>
    </xf>
    <xf numFmtId="0" fontId="35" fillId="0" borderId="0" xfId="0" applyFont="1" applyFill="1" applyAlignment="1">
      <alignment vertical="top" wrapText="1"/>
    </xf>
    <xf numFmtId="0" fontId="34" fillId="8" borderId="0" xfId="0" applyFont="1" applyFill="1" applyAlignment="1">
      <alignment horizontal="left"/>
    </xf>
    <xf numFmtId="0" fontId="23" fillId="14" borderId="0" xfId="0" applyFont="1" applyFill="1" applyAlignment="1">
      <alignment horizontal="left" vertical="top"/>
    </xf>
    <xf numFmtId="0" fontId="34" fillId="14" borderId="0" xfId="0" applyFont="1" applyFill="1" applyAlignment="1">
      <alignment horizontal="left" vertical="center"/>
    </xf>
    <xf numFmtId="0" fontId="42" fillId="14" borderId="0" xfId="0" applyFont="1" applyFill="1" applyAlignment="1">
      <alignment horizontal="left"/>
    </xf>
    <xf numFmtId="0" fontId="35" fillId="23" borderId="0" xfId="0" applyFont="1" applyFill="1" applyAlignment="1">
      <alignment horizontal="left" wrapText="1"/>
    </xf>
    <xf numFmtId="0" fontId="35" fillId="5" borderId="0" xfId="0" applyFont="1" applyFill="1" applyAlignment="1">
      <alignment horizontal="left" wrapText="1"/>
    </xf>
    <xf numFmtId="0" fontId="21" fillId="5" borderId="0" xfId="0" applyFont="1" applyFill="1" applyAlignment="1">
      <alignment horizontal="right"/>
    </xf>
    <xf numFmtId="0" fontId="12" fillId="16" borderId="0" xfId="0" applyFont="1" applyFill="1" applyAlignment="1">
      <alignment horizontal="right" vertical="top" wrapText="1"/>
    </xf>
    <xf numFmtId="0" fontId="12" fillId="16" borderId="15" xfId="0" applyFont="1" applyFill="1" applyBorder="1" applyAlignment="1">
      <alignment horizontal="right" vertical="top" wrapText="1"/>
    </xf>
    <xf numFmtId="0" fontId="19" fillId="5" borderId="0" xfId="0" applyFont="1" applyFill="1" applyAlignment="1">
      <alignment horizontal="right" vertical="top" wrapText="1"/>
    </xf>
    <xf numFmtId="0" fontId="12" fillId="5" borderId="0" xfId="0" applyFont="1" applyFill="1" applyAlignment="1">
      <alignment horizontal="center" vertical="top" wrapText="1"/>
    </xf>
    <xf numFmtId="0" fontId="32" fillId="18" borderId="24" xfId="0" applyFont="1" applyFill="1" applyBorder="1" applyAlignment="1">
      <alignment horizontal="center" wrapText="1"/>
    </xf>
    <xf numFmtId="0" fontId="32" fillId="18" borderId="25" xfId="0" applyFont="1" applyFill="1" applyBorder="1" applyAlignment="1">
      <alignment horizontal="center" wrapText="1"/>
    </xf>
    <xf numFmtId="0" fontId="32" fillId="18" borderId="26" xfId="0" applyFont="1" applyFill="1" applyBorder="1" applyAlignment="1">
      <alignment horizontal="center" wrapText="1"/>
    </xf>
    <xf numFmtId="0" fontId="48" fillId="6" borderId="0" xfId="0" applyFont="1" applyFill="1" applyAlignment="1">
      <alignment horizontal="center" vertical="center" wrapText="1"/>
    </xf>
    <xf numFmtId="0" fontId="0" fillId="6" borderId="0" xfId="0" applyFill="1" applyAlignment="1">
      <alignment vertical="center" wrapText="1"/>
    </xf>
    <xf numFmtId="0" fontId="0" fillId="6" borderId="17" xfId="0" applyFill="1" applyBorder="1" applyAlignment="1">
      <alignment vertical="center" wrapText="1"/>
    </xf>
    <xf numFmtId="0" fontId="48" fillId="6" borderId="17" xfId="0" applyFont="1" applyFill="1" applyBorder="1" applyAlignment="1">
      <alignment horizontal="center" vertical="center" wrapText="1"/>
    </xf>
    <xf numFmtId="0" fontId="23" fillId="14" borderId="0" xfId="0" applyFont="1" applyFill="1" applyAlignment="1">
      <alignment horizontal="center" vertical="top"/>
    </xf>
    <xf numFmtId="0" fontId="15" fillId="15" borderId="0" xfId="0" applyFont="1" applyFill="1" applyAlignment="1">
      <alignment horizontal="left" wrapText="1"/>
    </xf>
    <xf numFmtId="0" fontId="35" fillId="2" borderId="0" xfId="0" applyFont="1" applyFill="1" applyAlignment="1">
      <alignment horizontal="left"/>
    </xf>
    <xf numFmtId="0" fontId="79" fillId="17" borderId="0" xfId="0" applyFont="1" applyFill="1" applyAlignment="1">
      <alignment horizontal="center"/>
    </xf>
    <xf numFmtId="0" fontId="31" fillId="17" borderId="0" xfId="0" applyFont="1" applyFill="1" applyAlignment="1">
      <alignment horizontal="center"/>
    </xf>
    <xf numFmtId="0" fontId="73" fillId="19" borderId="0" xfId="0" applyFont="1" applyFill="1" applyAlignment="1">
      <alignment horizontal="center" vertical="center" wrapText="1"/>
    </xf>
    <xf numFmtId="0" fontId="3" fillId="19" borderId="22" xfId="0" applyFont="1" applyFill="1" applyBorder="1" applyAlignment="1">
      <alignment horizontal="left" vertical="center" wrapText="1"/>
    </xf>
    <xf numFmtId="0" fontId="1" fillId="19" borderId="19" xfId="0" applyFont="1" applyFill="1" applyBorder="1" applyAlignment="1">
      <alignment horizontal="left" vertical="center" wrapText="1"/>
    </xf>
    <xf numFmtId="0" fontId="1" fillId="19" borderId="20" xfId="0" applyFont="1" applyFill="1" applyBorder="1" applyAlignment="1">
      <alignment horizontal="left" vertical="center" wrapText="1"/>
    </xf>
    <xf numFmtId="0" fontId="2" fillId="19" borderId="21" xfId="0" applyFont="1" applyFill="1" applyBorder="1" applyAlignment="1">
      <alignment horizontal="center" vertical="center" wrapText="1"/>
    </xf>
    <xf numFmtId="0" fontId="2" fillId="19" borderId="0" xfId="0" applyFont="1" applyFill="1" applyBorder="1" applyAlignment="1">
      <alignment horizontal="center" vertical="center" wrapText="1"/>
    </xf>
    <xf numFmtId="0" fontId="1" fillId="19" borderId="21" xfId="0" applyFont="1" applyFill="1" applyBorder="1" applyAlignment="1">
      <alignment horizontal="left" vertical="center" wrapText="1"/>
    </xf>
    <xf numFmtId="0" fontId="1" fillId="19" borderId="0" xfId="0" applyFont="1" applyFill="1" applyBorder="1" applyAlignment="1">
      <alignment horizontal="left" vertical="center" wrapText="1"/>
    </xf>
    <xf numFmtId="0" fontId="19" fillId="0" borderId="0" xfId="0" applyFont="1" applyAlignment="1">
      <alignment horizontal="center"/>
    </xf>
    <xf numFmtId="0" fontId="0" fillId="17" borderId="0" xfId="0" applyFill="1" applyAlignment="1">
      <alignment horizontal="center"/>
    </xf>
    <xf numFmtId="0" fontId="0" fillId="17" borderId="0" xfId="0" applyFill="1" applyAlignment="1">
      <alignment horizontal="center" wrapText="1"/>
    </xf>
  </cellXfs>
  <cellStyles count="14">
    <cellStyle name="20% - Accent1" xfId="8" builtinId="30"/>
    <cellStyle name="40% - Accent1" xfId="9" builtinId="31"/>
    <cellStyle name="Bad" xfId="6" builtinId="27"/>
    <cellStyle name="Comma" xfId="4" builtinId="3"/>
    <cellStyle name="Comma 2" xfId="11"/>
    <cellStyle name="Currency 2" xfId="12"/>
    <cellStyle name="Good" xfId="5" builtinId="26"/>
    <cellStyle name="Hyperlink" xfId="1" builtinId="8"/>
    <cellStyle name="Hyperlink 2" xfId="3"/>
    <cellStyle name="Neutral" xfId="7" builtinId="28"/>
    <cellStyle name="Normal" xfId="0" builtinId="0"/>
    <cellStyle name="Normal 2" xfId="10"/>
    <cellStyle name="Percent" xfId="2" builtinId="5"/>
    <cellStyle name="Percent 2" xfId="13"/>
  </cellStyles>
  <dxfs count="0"/>
  <tableStyles count="0" defaultTableStyle="TableStyleMedium2" defaultPivotStyle="PivotStyleLight16"/>
  <colors>
    <mruColors>
      <color rgb="FFFFFF66"/>
      <color rgb="FFFFFF99"/>
      <color rgb="FFFF3300"/>
      <color rgb="FFFF7C80"/>
      <color rgb="FF00990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Energy System Options</a:t>
            </a:r>
            <a:br>
              <a:rPr lang="en-US" sz="1800" b="1" i="0" baseline="0">
                <a:effectLst/>
              </a:rPr>
            </a:br>
            <a:r>
              <a:rPr lang="en-US" sz="1800" b="1" i="0" baseline="0">
                <a:effectLst/>
              </a:rPr>
              <a:t>20 Year  Cost Perspective</a:t>
            </a:r>
            <a:endParaRPr lang="en-US">
              <a:effectLst/>
            </a:endParaRPr>
          </a:p>
          <a:p>
            <a:pPr>
              <a:defRPr/>
            </a:pPr>
            <a:r>
              <a:rPr lang="en-US" sz="1800" b="1" i="0" baseline="0">
                <a:effectLst/>
              </a:rPr>
              <a:t>First Universalist Operating Budget</a:t>
            </a:r>
            <a:endParaRPr lang="en-US">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440"/>
      <c:rAngAx val="0"/>
    </c:view3D>
    <c:floor>
      <c:thickness val="0"/>
      <c:spPr>
        <a:noFill/>
        <a:ln w="9525" cap="flat" cmpd="sng" algn="ctr">
          <a:solidFill>
            <a:schemeClr val="tx1">
              <a:lumMod val="15000"/>
              <a:lumOff val="85000"/>
            </a:schemeClr>
          </a:solidFill>
          <a:round/>
        </a:ln>
        <a:effectLst/>
        <a:sp3d contourW="9525">
          <a:contourClr>
            <a:schemeClr val="tx1">
              <a:lumMod val="15000"/>
              <a:lumOff val="8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2500998111147899"/>
          <c:y val="0.203491457259043"/>
          <c:w val="0.69012510041585795"/>
          <c:h val="0.58139654418197695"/>
        </c:manualLayout>
      </c:layout>
      <c:area3DChart>
        <c:grouping val="standard"/>
        <c:varyColors val="0"/>
        <c:ser>
          <c:idx val="1"/>
          <c:order val="0"/>
          <c:tx>
            <c:v>Renewable Energy System Expenses</c:v>
          </c:tx>
          <c:spPr>
            <a:solidFill>
              <a:srgbClr val="00B050"/>
            </a:solidFill>
            <a:ln>
              <a:noFill/>
            </a:ln>
            <a:effectLst/>
            <a:sp3d/>
          </c:spPr>
          <c:dLbls>
            <c:dLbl>
              <c:idx val="0"/>
              <c:layout>
                <c:manualLayout>
                  <c:x val="-7.3137327135479602E-2"/>
                  <c:y val="2.8939428772096396E-3"/>
                </c:manualLayout>
              </c:layout>
              <c:spPr>
                <a:noFill/>
                <a:ln>
                  <a:noFill/>
                </a:ln>
                <a:effectLst/>
              </c:spPr>
              <c:txPr>
                <a:bodyPr rot="24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46210032299104"/>
                      <c:h val="8.4317420780672503E-2"/>
                    </c:manualLayout>
                  </c15:layout>
                </c:ext>
                <c:ext xmlns:c16="http://schemas.microsoft.com/office/drawing/2014/chart" uri="{C3380CC4-5D6E-409C-BE32-E72D297353CC}">
                  <c16:uniqueId val="{00000000-D55A-4493-AA79-FE824DDFDF9D}"/>
                </c:ext>
              </c:extLst>
            </c:dLbl>
            <c:spPr>
              <a:noFill/>
              <a:ln>
                <a:noFill/>
              </a:ln>
              <a:effectLst/>
            </c:spPr>
            <c:txPr>
              <a:bodyPr rot="24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0"/>
              </c:ext>
            </c:extLst>
          </c:dLbls>
          <c:cat>
            <c:numRef>
              <c:f>'Revenue Neutral Plan'!$B$21:$B$40</c:f>
              <c:numCache>
                <c:formatCode>General</c:formatCode>
                <c:ptCount val="2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numCache>
            </c:numRef>
          </c:cat>
          <c:val>
            <c:numRef>
              <c:f>'Revenue Neutral Plan'!$G$21:$G$40</c:f>
              <c:numCache>
                <c:formatCode>"$"#,##0_);[Red]\("$"#,##0\)</c:formatCode>
                <c:ptCount val="20"/>
                <c:pt idx="0">
                  <c:v>18560.279490439771</c:v>
                </c:pt>
                <c:pt idx="1">
                  <c:v>18591.279490439771</c:v>
                </c:pt>
                <c:pt idx="2">
                  <c:v>18623.279490439771</c:v>
                </c:pt>
                <c:pt idx="3">
                  <c:v>18656.279490439771</c:v>
                </c:pt>
                <c:pt idx="4">
                  <c:v>18690.279490439771</c:v>
                </c:pt>
                <c:pt idx="5">
                  <c:v>18725.279490439771</c:v>
                </c:pt>
                <c:pt idx="6">
                  <c:v>18761.279490439771</c:v>
                </c:pt>
                <c:pt idx="7">
                  <c:v>18798.279490439771</c:v>
                </c:pt>
                <c:pt idx="8">
                  <c:v>18836.279490439771</c:v>
                </c:pt>
                <c:pt idx="9">
                  <c:v>18875.279490439771</c:v>
                </c:pt>
                <c:pt idx="10">
                  <c:v>18915.279490439771</c:v>
                </c:pt>
                <c:pt idx="11">
                  <c:v>18957.279490439771</c:v>
                </c:pt>
                <c:pt idx="12">
                  <c:v>19000.279490439771</c:v>
                </c:pt>
                <c:pt idx="13">
                  <c:v>19044.279490439771</c:v>
                </c:pt>
                <c:pt idx="14">
                  <c:v>19089.279490439771</c:v>
                </c:pt>
                <c:pt idx="15">
                  <c:v>1606</c:v>
                </c:pt>
                <c:pt idx="16">
                  <c:v>1654</c:v>
                </c:pt>
                <c:pt idx="17">
                  <c:v>1704</c:v>
                </c:pt>
                <c:pt idx="18">
                  <c:v>1755</c:v>
                </c:pt>
                <c:pt idx="19">
                  <c:v>1808</c:v>
                </c:pt>
              </c:numCache>
            </c:numRef>
          </c:val>
          <c:extLst>
            <c:ext xmlns:c16="http://schemas.microsoft.com/office/drawing/2014/chart" uri="{C3380CC4-5D6E-409C-BE32-E72D297353CC}">
              <c16:uniqueId val="{00000001-D55A-4493-AA79-FE824DDFDF9D}"/>
            </c:ext>
          </c:extLst>
        </c:ser>
        <c:ser>
          <c:idx val="0"/>
          <c:order val="1"/>
          <c:tx>
            <c:v>Fossil Fuel System Expenses</c:v>
          </c:tx>
          <c:spPr>
            <a:solidFill>
              <a:srgbClr val="FF0000"/>
            </a:solidFill>
            <a:ln>
              <a:noFill/>
            </a:ln>
            <a:effectLst/>
            <a:sp3d/>
          </c:spPr>
          <c:dLbls>
            <c:dLbl>
              <c:idx val="0"/>
              <c:layout>
                <c:manualLayout>
                  <c:x val="3.8371309973787397E-2"/>
                  <c:y val="-3.7144238229371199E-2"/>
                </c:manualLayout>
              </c:layout>
              <c:spPr>
                <a:noFill/>
                <a:ln>
                  <a:noFill/>
                </a:ln>
                <a:effectLst/>
              </c:spPr>
              <c:txPr>
                <a:bodyPr rot="-60000" spcFirstLastPara="1" vertOverflow="ellipsis"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208906035935"/>
                      <c:h val="8.4317420780672503E-2"/>
                    </c:manualLayout>
                  </c15:layout>
                </c:ext>
                <c:ext xmlns:c16="http://schemas.microsoft.com/office/drawing/2014/chart" uri="{C3380CC4-5D6E-409C-BE32-E72D297353CC}">
                  <c16:uniqueId val="{00000002-D55A-4493-AA79-FE824DDFDF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'Revenue Neutral Plan'!$B$21:$B$40</c:f>
              <c:numCache>
                <c:formatCode>General</c:formatCode>
                <c:ptCount val="2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numCache>
            </c:numRef>
          </c:cat>
          <c:val>
            <c:numRef>
              <c:f>'Revenue Neutral Plan'!$C$21:$C$40</c:f>
              <c:numCache>
                <c:formatCode>"$"#,##0_);[Red]\("$"#,##0\)</c:formatCode>
                <c:ptCount val="20"/>
                <c:pt idx="0">
                  <c:v>18056</c:v>
                </c:pt>
                <c:pt idx="1">
                  <c:v>18598</c:v>
                </c:pt>
                <c:pt idx="2">
                  <c:v>19156</c:v>
                </c:pt>
                <c:pt idx="3">
                  <c:v>19731</c:v>
                </c:pt>
                <c:pt idx="4">
                  <c:v>20323</c:v>
                </c:pt>
                <c:pt idx="5">
                  <c:v>20933</c:v>
                </c:pt>
                <c:pt idx="6">
                  <c:v>21561</c:v>
                </c:pt>
                <c:pt idx="7">
                  <c:v>22208</c:v>
                </c:pt>
                <c:pt idx="8">
                  <c:v>22874</c:v>
                </c:pt>
                <c:pt idx="9">
                  <c:v>23560</c:v>
                </c:pt>
                <c:pt idx="10">
                  <c:v>24267</c:v>
                </c:pt>
                <c:pt idx="11">
                  <c:v>24995</c:v>
                </c:pt>
                <c:pt idx="12">
                  <c:v>25745</c:v>
                </c:pt>
                <c:pt idx="13">
                  <c:v>26517</c:v>
                </c:pt>
                <c:pt idx="14">
                  <c:v>27313</c:v>
                </c:pt>
                <c:pt idx="15">
                  <c:v>28132</c:v>
                </c:pt>
                <c:pt idx="16">
                  <c:v>28976</c:v>
                </c:pt>
                <c:pt idx="17">
                  <c:v>29845</c:v>
                </c:pt>
                <c:pt idx="18">
                  <c:v>30740</c:v>
                </c:pt>
                <c:pt idx="19">
                  <c:v>31662</c:v>
                </c:pt>
              </c:numCache>
            </c:numRef>
          </c:val>
          <c:extLst>
            <c:ext xmlns:c16="http://schemas.microsoft.com/office/drawing/2014/chart" uri="{C3380CC4-5D6E-409C-BE32-E72D297353CC}">
              <c16:uniqueId val="{00000003-D55A-4493-AA79-FE824DDFDF9D}"/>
            </c:ext>
          </c:extLst>
        </c:ser>
        <c:dLbls>
          <c:showLegendKey val="0"/>
          <c:showVal val="0"/>
          <c:showCatName val="0"/>
          <c:showSerName val="0"/>
          <c:showPercent val="0"/>
          <c:showBubbleSize val="0"/>
        </c:dLbls>
        <c:axId val="-1248525104"/>
        <c:axId val="-1248138480"/>
        <c:axId val="-1248130944"/>
      </c:area3DChart>
      <c:catAx>
        <c:axId val="-1248525104"/>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Year</a:t>
                </a:r>
              </a:p>
            </c:rich>
          </c:tx>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8138480"/>
        <c:crosses val="autoZero"/>
        <c:auto val="1"/>
        <c:lblAlgn val="ctr"/>
        <c:lblOffset val="100"/>
        <c:noMultiLvlLbl val="0"/>
      </c:catAx>
      <c:valAx>
        <c:axId val="-12481384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US" sz="1800" b="1" i="0" baseline="0">
                    <a:effectLst/>
                  </a:rPr>
                  <a:t>Church Energy Expenses ($)</a:t>
                </a:r>
                <a:endParaRPr lang="en-US">
                  <a:effectLst/>
                </a:endParaRPr>
              </a:p>
              <a:p>
                <a:pPr marL="0" marR="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US"/>
              </a:p>
            </c:rich>
          </c:tx>
          <c:layout/>
          <c:overlay val="0"/>
          <c:spPr>
            <a:noFill/>
            <a:ln>
              <a:noFill/>
            </a:ln>
            <a:effectLst/>
          </c:spPr>
          <c:txPr>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8525104"/>
        <c:crosses val="autoZero"/>
        <c:crossBetween val="midCat"/>
      </c:valAx>
      <c:serAx>
        <c:axId val="-1248130944"/>
        <c:scaling>
          <c:orientation val="minMax"/>
        </c:scaling>
        <c:delete val="1"/>
        <c:axPos val="b"/>
        <c:majorTickMark val="out"/>
        <c:minorTickMark val="none"/>
        <c:tickLblPos val="nextTo"/>
        <c:crossAx val="-1248138480"/>
        <c:crosses val="autoZero"/>
      </c:ser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865179692809856E-2"/>
          <c:y val="0.16817133030596854"/>
          <c:w val="0.8420491801750537"/>
          <c:h val="0.75911717311161453"/>
        </c:manualLayout>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40680717186524418"/>
                  <c:y val="-9.215576123160045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Colorado_Price_of_Natural_Gas!$B$6:$B$53</c:f>
              <c:numCache>
                <c:formatCode>General</c:formatCode>
                <c:ptCount val="48"/>
                <c:pt idx="0">
                  <c:v>2014</c:v>
                </c:pt>
                <c:pt idx="1">
                  <c:v>2013</c:v>
                </c:pt>
                <c:pt idx="2">
                  <c:v>2012</c:v>
                </c:pt>
                <c:pt idx="3">
                  <c:v>2011</c:v>
                </c:pt>
                <c:pt idx="4">
                  <c:v>2010</c:v>
                </c:pt>
                <c:pt idx="5">
                  <c:v>2009</c:v>
                </c:pt>
                <c:pt idx="6">
                  <c:v>2008</c:v>
                </c:pt>
                <c:pt idx="7">
                  <c:v>2007</c:v>
                </c:pt>
                <c:pt idx="8">
                  <c:v>2006</c:v>
                </c:pt>
                <c:pt idx="9">
                  <c:v>2005</c:v>
                </c:pt>
                <c:pt idx="10">
                  <c:v>2004</c:v>
                </c:pt>
                <c:pt idx="11">
                  <c:v>2003</c:v>
                </c:pt>
                <c:pt idx="12">
                  <c:v>2002</c:v>
                </c:pt>
                <c:pt idx="13">
                  <c:v>2001</c:v>
                </c:pt>
                <c:pt idx="14">
                  <c:v>2000</c:v>
                </c:pt>
                <c:pt idx="15">
                  <c:v>1999</c:v>
                </c:pt>
                <c:pt idx="16">
                  <c:v>1998</c:v>
                </c:pt>
                <c:pt idx="17">
                  <c:v>1997</c:v>
                </c:pt>
                <c:pt idx="18">
                  <c:v>1996</c:v>
                </c:pt>
                <c:pt idx="19">
                  <c:v>1995</c:v>
                </c:pt>
                <c:pt idx="20">
                  <c:v>1994</c:v>
                </c:pt>
                <c:pt idx="21">
                  <c:v>1993</c:v>
                </c:pt>
                <c:pt idx="22">
                  <c:v>1992</c:v>
                </c:pt>
                <c:pt idx="23">
                  <c:v>1991</c:v>
                </c:pt>
                <c:pt idx="24">
                  <c:v>1990</c:v>
                </c:pt>
                <c:pt idx="25">
                  <c:v>1989</c:v>
                </c:pt>
                <c:pt idx="26">
                  <c:v>1988</c:v>
                </c:pt>
                <c:pt idx="27">
                  <c:v>1987</c:v>
                </c:pt>
                <c:pt idx="28">
                  <c:v>1986</c:v>
                </c:pt>
                <c:pt idx="29">
                  <c:v>1985</c:v>
                </c:pt>
                <c:pt idx="30">
                  <c:v>1984</c:v>
                </c:pt>
                <c:pt idx="31">
                  <c:v>1983</c:v>
                </c:pt>
                <c:pt idx="32">
                  <c:v>1982</c:v>
                </c:pt>
                <c:pt idx="33">
                  <c:v>1981</c:v>
                </c:pt>
                <c:pt idx="34">
                  <c:v>1980</c:v>
                </c:pt>
                <c:pt idx="35">
                  <c:v>1979</c:v>
                </c:pt>
                <c:pt idx="36">
                  <c:v>1978</c:v>
                </c:pt>
                <c:pt idx="37">
                  <c:v>1977</c:v>
                </c:pt>
                <c:pt idx="38">
                  <c:v>1976</c:v>
                </c:pt>
                <c:pt idx="39">
                  <c:v>1975</c:v>
                </c:pt>
                <c:pt idx="40">
                  <c:v>1974</c:v>
                </c:pt>
                <c:pt idx="41">
                  <c:v>1973</c:v>
                </c:pt>
                <c:pt idx="42">
                  <c:v>1972</c:v>
                </c:pt>
                <c:pt idx="43">
                  <c:v>1971</c:v>
                </c:pt>
                <c:pt idx="44">
                  <c:v>1970</c:v>
                </c:pt>
                <c:pt idx="45">
                  <c:v>1969</c:v>
                </c:pt>
                <c:pt idx="46">
                  <c:v>1968</c:v>
                </c:pt>
                <c:pt idx="47">
                  <c:v>1967</c:v>
                </c:pt>
              </c:numCache>
            </c:numRef>
          </c:xVal>
          <c:yVal>
            <c:numRef>
              <c:f>Colorado_Price_of_Natural_Gas!$C$6:$C$53</c:f>
              <c:numCache>
                <c:formatCode>"$"#,##0.00</c:formatCode>
                <c:ptCount val="48"/>
                <c:pt idx="0">
                  <c:v>8.15</c:v>
                </c:pt>
                <c:pt idx="1">
                  <c:v>7.26</c:v>
                </c:pt>
                <c:pt idx="2">
                  <c:v>7.58</c:v>
                </c:pt>
                <c:pt idx="3">
                  <c:v>7.84</c:v>
                </c:pt>
                <c:pt idx="4">
                  <c:v>7.58</c:v>
                </c:pt>
                <c:pt idx="5">
                  <c:v>7.56</c:v>
                </c:pt>
                <c:pt idx="6">
                  <c:v>9.01</c:v>
                </c:pt>
                <c:pt idx="7">
                  <c:v>8.1</c:v>
                </c:pt>
                <c:pt idx="8">
                  <c:v>9.61</c:v>
                </c:pt>
                <c:pt idx="9">
                  <c:v>9.3800000000000008</c:v>
                </c:pt>
                <c:pt idx="10">
                  <c:v>7.48</c:v>
                </c:pt>
                <c:pt idx="11">
                  <c:v>5.93</c:v>
                </c:pt>
                <c:pt idx="12">
                  <c:v>4.82</c:v>
                </c:pt>
                <c:pt idx="13">
                  <c:v>7.71</c:v>
                </c:pt>
                <c:pt idx="14">
                  <c:v>5.37</c:v>
                </c:pt>
                <c:pt idx="15">
                  <c:v>4.55</c:v>
                </c:pt>
                <c:pt idx="16">
                  <c:v>4.34</c:v>
                </c:pt>
                <c:pt idx="17">
                  <c:v>4.0599999999999996</c:v>
                </c:pt>
                <c:pt idx="18">
                  <c:v>3.67</c:v>
                </c:pt>
                <c:pt idx="19">
                  <c:v>4.2300000000000004</c:v>
                </c:pt>
                <c:pt idx="20">
                  <c:v>4.37</c:v>
                </c:pt>
                <c:pt idx="21">
                  <c:v>4.04</c:v>
                </c:pt>
                <c:pt idx="22">
                  <c:v>4</c:v>
                </c:pt>
                <c:pt idx="23">
                  <c:v>4.04</c:v>
                </c:pt>
                <c:pt idx="24">
                  <c:v>3.99</c:v>
                </c:pt>
                <c:pt idx="25">
                  <c:v>4.05</c:v>
                </c:pt>
                <c:pt idx="26">
                  <c:v>3.86</c:v>
                </c:pt>
                <c:pt idx="27">
                  <c:v>4.1500000000000004</c:v>
                </c:pt>
                <c:pt idx="28">
                  <c:v>4.43</c:v>
                </c:pt>
                <c:pt idx="29">
                  <c:v>4.6100000000000003</c:v>
                </c:pt>
                <c:pt idx="30">
                  <c:v>4.7699999999999996</c:v>
                </c:pt>
                <c:pt idx="31">
                  <c:v>5.04</c:v>
                </c:pt>
                <c:pt idx="32">
                  <c:v>4.57</c:v>
                </c:pt>
                <c:pt idx="33">
                  <c:v>3.84</c:v>
                </c:pt>
                <c:pt idx="34">
                  <c:v>3.01</c:v>
                </c:pt>
                <c:pt idx="35">
                  <c:v>2.29</c:v>
                </c:pt>
                <c:pt idx="36">
                  <c:v>1.73</c:v>
                </c:pt>
                <c:pt idx="37">
                  <c:v>1.4</c:v>
                </c:pt>
                <c:pt idx="38">
                  <c:v>1.0900000000000001</c:v>
                </c:pt>
                <c:pt idx="39">
                  <c:v>0.99</c:v>
                </c:pt>
                <c:pt idx="40">
                  <c:v>0.83</c:v>
                </c:pt>
                <c:pt idx="41">
                  <c:v>0.68</c:v>
                </c:pt>
                <c:pt idx="42">
                  <c:v>0.64</c:v>
                </c:pt>
                <c:pt idx="43">
                  <c:v>0.59</c:v>
                </c:pt>
                <c:pt idx="44">
                  <c:v>0.56999999999999995</c:v>
                </c:pt>
                <c:pt idx="45">
                  <c:v>0.55000000000000004</c:v>
                </c:pt>
                <c:pt idx="46">
                  <c:v>0.55000000000000004</c:v>
                </c:pt>
                <c:pt idx="47">
                  <c:v>0.56000000000000005</c:v>
                </c:pt>
              </c:numCache>
            </c:numRef>
          </c:yVal>
          <c:smooth val="0"/>
          <c:extLst>
            <c:ext xmlns:c16="http://schemas.microsoft.com/office/drawing/2014/chart" uri="{C3380CC4-5D6E-409C-BE32-E72D297353CC}">
              <c16:uniqueId val="{00000000-F607-4345-B9D9-93A10B2E058A}"/>
            </c:ext>
          </c:extLst>
        </c:ser>
        <c:dLbls>
          <c:showLegendKey val="0"/>
          <c:showVal val="0"/>
          <c:showCatName val="0"/>
          <c:showSerName val="0"/>
          <c:showPercent val="0"/>
          <c:showBubbleSize val="0"/>
        </c:dLbls>
        <c:axId val="278773344"/>
        <c:axId val="278773736"/>
        <c:extLst>
          <c:ext xmlns:c15="http://schemas.microsoft.com/office/drawing/2012/chart" uri="{02D57815-91ED-43cb-92C2-25804820EDAC}">
            <c15:filteredScatterSeries>
              <c15: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extLst>
                      <c:ext uri="{02D57815-91ED-43cb-92C2-25804820EDAC}">
                        <c15:formulaRef>
                          <c15:sqref>Colorado_Price_of_Natural_Gas!$B$6:$B$53</c15:sqref>
                        </c15:formulaRef>
                      </c:ext>
                    </c:extLst>
                    <c:numCache>
                      <c:formatCode>General</c:formatCode>
                      <c:ptCount val="48"/>
                      <c:pt idx="0">
                        <c:v>2014</c:v>
                      </c:pt>
                      <c:pt idx="1">
                        <c:v>2013</c:v>
                      </c:pt>
                      <c:pt idx="2">
                        <c:v>2012</c:v>
                      </c:pt>
                      <c:pt idx="3">
                        <c:v>2011</c:v>
                      </c:pt>
                      <c:pt idx="4">
                        <c:v>2010</c:v>
                      </c:pt>
                      <c:pt idx="5">
                        <c:v>2009</c:v>
                      </c:pt>
                      <c:pt idx="6">
                        <c:v>2008</c:v>
                      </c:pt>
                      <c:pt idx="7">
                        <c:v>2007</c:v>
                      </c:pt>
                      <c:pt idx="8">
                        <c:v>2006</c:v>
                      </c:pt>
                      <c:pt idx="9">
                        <c:v>2005</c:v>
                      </c:pt>
                      <c:pt idx="10">
                        <c:v>2004</c:v>
                      </c:pt>
                      <c:pt idx="11">
                        <c:v>2003</c:v>
                      </c:pt>
                      <c:pt idx="12">
                        <c:v>2002</c:v>
                      </c:pt>
                      <c:pt idx="13">
                        <c:v>2001</c:v>
                      </c:pt>
                      <c:pt idx="14">
                        <c:v>2000</c:v>
                      </c:pt>
                      <c:pt idx="15">
                        <c:v>1999</c:v>
                      </c:pt>
                      <c:pt idx="16">
                        <c:v>1998</c:v>
                      </c:pt>
                      <c:pt idx="17">
                        <c:v>1997</c:v>
                      </c:pt>
                      <c:pt idx="18">
                        <c:v>1996</c:v>
                      </c:pt>
                      <c:pt idx="19">
                        <c:v>1995</c:v>
                      </c:pt>
                      <c:pt idx="20">
                        <c:v>1994</c:v>
                      </c:pt>
                      <c:pt idx="21">
                        <c:v>1993</c:v>
                      </c:pt>
                      <c:pt idx="22">
                        <c:v>1992</c:v>
                      </c:pt>
                      <c:pt idx="23">
                        <c:v>1991</c:v>
                      </c:pt>
                      <c:pt idx="24">
                        <c:v>1990</c:v>
                      </c:pt>
                      <c:pt idx="25">
                        <c:v>1989</c:v>
                      </c:pt>
                      <c:pt idx="26">
                        <c:v>1988</c:v>
                      </c:pt>
                      <c:pt idx="27">
                        <c:v>1987</c:v>
                      </c:pt>
                      <c:pt idx="28">
                        <c:v>1986</c:v>
                      </c:pt>
                      <c:pt idx="29">
                        <c:v>1985</c:v>
                      </c:pt>
                      <c:pt idx="30">
                        <c:v>1984</c:v>
                      </c:pt>
                      <c:pt idx="31">
                        <c:v>1983</c:v>
                      </c:pt>
                      <c:pt idx="32">
                        <c:v>1982</c:v>
                      </c:pt>
                      <c:pt idx="33">
                        <c:v>1981</c:v>
                      </c:pt>
                      <c:pt idx="34">
                        <c:v>1980</c:v>
                      </c:pt>
                      <c:pt idx="35">
                        <c:v>1979</c:v>
                      </c:pt>
                      <c:pt idx="36">
                        <c:v>1978</c:v>
                      </c:pt>
                      <c:pt idx="37">
                        <c:v>1977</c:v>
                      </c:pt>
                      <c:pt idx="38">
                        <c:v>1976</c:v>
                      </c:pt>
                      <c:pt idx="39">
                        <c:v>1975</c:v>
                      </c:pt>
                      <c:pt idx="40">
                        <c:v>1974</c:v>
                      </c:pt>
                      <c:pt idx="41">
                        <c:v>1973</c:v>
                      </c:pt>
                      <c:pt idx="42">
                        <c:v>1972</c:v>
                      </c:pt>
                      <c:pt idx="43">
                        <c:v>1971</c:v>
                      </c:pt>
                      <c:pt idx="44">
                        <c:v>1970</c:v>
                      </c:pt>
                      <c:pt idx="45">
                        <c:v>1969</c:v>
                      </c:pt>
                      <c:pt idx="46">
                        <c:v>1968</c:v>
                      </c:pt>
                      <c:pt idx="47">
                        <c:v>1967</c:v>
                      </c:pt>
                    </c:numCache>
                  </c:numRef>
                </c:xVal>
                <c:yVal>
                  <c:numRef>
                    <c:extLst>
                      <c:ext uri="{02D57815-91ED-43cb-92C2-25804820EDAC}">
                        <c15:formulaRef>
                          <c15:sqref>Colorado_Price_of_Natural_Gas!$E$6:$E$53</c15:sqref>
                        </c15:formulaRef>
                      </c:ext>
                    </c:extLst>
                    <c:numCache>
                      <c:formatCode>0.00</c:formatCode>
                      <c:ptCount val="48"/>
                      <c:pt idx="0">
                        <c:v>8.6609133663991393</c:v>
                      </c:pt>
                      <c:pt idx="1">
                        <c:v>8.1706729871689987</c:v>
                      </c:pt>
                      <c:pt idx="2">
                        <c:v>7.7081820633669791</c:v>
                      </c:pt>
                      <c:pt idx="3">
                        <c:v>7.2718698711009235</c:v>
                      </c:pt>
                      <c:pt idx="4">
                        <c:v>6.8602545953782297</c:v>
                      </c:pt>
                      <c:pt idx="5">
                        <c:v>6.4719382975266315</c:v>
                      </c:pt>
                      <c:pt idx="6">
                        <c:v>6.1056021674779544</c:v>
                      </c:pt>
                      <c:pt idx="7">
                        <c:v>5.7600020447905225</c:v>
                      </c:pt>
                      <c:pt idx="8">
                        <c:v>5.433964193198606</c:v>
                      </c:pt>
                      <c:pt idx="9">
                        <c:v>5.1263813143383077</c:v>
                      </c:pt>
                      <c:pt idx="10">
                        <c:v>4.8362087871116106</c:v>
                      </c:pt>
                      <c:pt idx="11">
                        <c:v>4.5624611199166134</c:v>
                      </c:pt>
                      <c:pt idx="12">
                        <c:v>4.3042086036949181</c:v>
                      </c:pt>
                      <c:pt idx="13">
                        <c:v>4.060574154429168</c:v>
                      </c:pt>
                      <c:pt idx="14">
                        <c:v>3.8307303343671393</c:v>
                      </c:pt>
                      <c:pt idx="15">
                        <c:v>3.6138965418557918</c:v>
                      </c:pt>
                      <c:pt idx="16">
                        <c:v>3.4093363602413129</c:v>
                      </c:pt>
                      <c:pt idx="17">
                        <c:v>3.2163550568314272</c:v>
                      </c:pt>
                      <c:pt idx="18">
                        <c:v>3.0342972234258747</c:v>
                      </c:pt>
                      <c:pt idx="19">
                        <c:v>2.8625445504017684</c:v>
                      </c:pt>
                      <c:pt idx="20">
                        <c:v>2.7005137267941208</c:v>
                      </c:pt>
                      <c:pt idx="21">
                        <c:v>2.5476544592397365</c:v>
                      </c:pt>
                      <c:pt idx="22">
                        <c:v>2.403447603056355</c:v>
                      </c:pt>
                      <c:pt idx="23">
                        <c:v>2.2674033991097686</c:v>
                      </c:pt>
                      <c:pt idx="24">
                        <c:v>2.1390598104809135</c:v>
                      </c:pt>
                      <c:pt idx="25">
                        <c:v>2.0179809532838804</c:v>
                      </c:pt>
                      <c:pt idx="26">
                        <c:v>1.9037556163055473</c:v>
                      </c:pt>
                      <c:pt idx="27">
                        <c:v>1.7959958644391956</c:v>
                      </c:pt>
                      <c:pt idx="28">
                        <c:v>1.6943357211690524</c:v>
                      </c:pt>
                      <c:pt idx="29">
                        <c:v>1.5984299256311814</c:v>
                      </c:pt>
                      <c:pt idx="30">
                        <c:v>1.5079527600294163</c:v>
                      </c:pt>
                      <c:pt idx="31">
                        <c:v>1.4225969434239776</c:v>
                      </c:pt>
                      <c:pt idx="32">
                        <c:v>1.3420725881358277</c:v>
                      </c:pt>
                      <c:pt idx="33">
                        <c:v>1.2661062152224789</c:v>
                      </c:pt>
                      <c:pt idx="34">
                        <c:v>1.1944398256815838</c:v>
                      </c:pt>
                      <c:pt idx="35">
                        <c:v>1.1268300242279092</c:v>
                      </c:pt>
                      <c:pt idx="36">
                        <c:v>1.0630471926678389</c:v>
                      </c:pt>
                      <c:pt idx="37">
                        <c:v>1.002874710063999</c:v>
                      </c:pt>
                      <c:pt idx="38">
                        <c:v>0.94610821704150838</c:v>
                      </c:pt>
                      <c:pt idx="39">
                        <c:v>0.89255492173727202</c:v>
                      </c:pt>
                      <c:pt idx="40">
                        <c:v>0.84203294503516224</c:v>
                      </c:pt>
                      <c:pt idx="41">
                        <c:v>0.79437070286336053</c:v>
                      </c:pt>
                      <c:pt idx="42">
                        <c:v>0.74940632345600044</c:v>
                      </c:pt>
                      <c:pt idx="43">
                        <c:v>0.70698709760000034</c:v>
                      </c:pt>
                      <c:pt idx="44">
                        <c:v>0.66696896000000028</c:v>
                      </c:pt>
                      <c:pt idx="45">
                        <c:v>0.62921600000000022</c:v>
                      </c:pt>
                      <c:pt idx="46">
                        <c:v>0.59360000000000013</c:v>
                      </c:pt>
                      <c:pt idx="47">
                        <c:v>0.56000000000000005</c:v>
                      </c:pt>
                    </c:numCache>
                  </c:numRef>
                </c:yVal>
                <c:smooth val="0"/>
                <c:extLst>
                  <c:ext xmlns:c16="http://schemas.microsoft.com/office/drawing/2014/chart" uri="{C3380CC4-5D6E-409C-BE32-E72D297353CC}">
                    <c16:uniqueId val="{00000001-F607-4345-B9D9-93A10B2E058A}"/>
                  </c:ext>
                </c:extLst>
              </c15:ser>
            </c15:filteredScatterSeries>
          </c:ext>
        </c:extLst>
      </c:scatterChart>
      <c:valAx>
        <c:axId val="2787733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8773736"/>
        <c:crosses val="autoZero"/>
        <c:crossBetween val="midCat"/>
      </c:valAx>
      <c:valAx>
        <c:axId val="27877373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87733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2479323710503271"/>
                  <c:y val="-0.1108555865595330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trendline>
            <c:spPr>
              <a:ln w="19050" cap="rnd">
                <a:solidFill>
                  <a:srgbClr val="FF0000"/>
                </a:solidFill>
                <a:prstDash val="sysDot"/>
              </a:ln>
              <a:effectLst/>
            </c:spPr>
            <c:trendlineType val="movingAvg"/>
            <c:period val="20"/>
            <c:dispRSqr val="0"/>
            <c:dispEq val="0"/>
          </c:trendline>
          <c:xVal>
            <c:numRef>
              <c:f>Colorado_Price_of_Natural_Gas!$A$6:$A$53</c:f>
              <c:numCache>
                <c:formatCode>General</c:formatCode>
                <c:ptCount val="48"/>
                <c:pt idx="0">
                  <c:v>48</c:v>
                </c:pt>
                <c:pt idx="1">
                  <c:v>47</c:v>
                </c:pt>
                <c:pt idx="2">
                  <c:v>46</c:v>
                </c:pt>
                <c:pt idx="3">
                  <c:v>45</c:v>
                </c:pt>
                <c:pt idx="4">
                  <c:v>44</c:v>
                </c:pt>
                <c:pt idx="5">
                  <c:v>43</c:v>
                </c:pt>
                <c:pt idx="6">
                  <c:v>42</c:v>
                </c:pt>
                <c:pt idx="7">
                  <c:v>41</c:v>
                </c:pt>
                <c:pt idx="8">
                  <c:v>40</c:v>
                </c:pt>
                <c:pt idx="9">
                  <c:v>39</c:v>
                </c:pt>
                <c:pt idx="10">
                  <c:v>38</c:v>
                </c:pt>
                <c:pt idx="11">
                  <c:v>37</c:v>
                </c:pt>
                <c:pt idx="12">
                  <c:v>36</c:v>
                </c:pt>
                <c:pt idx="13">
                  <c:v>35</c:v>
                </c:pt>
                <c:pt idx="14">
                  <c:v>34</c:v>
                </c:pt>
                <c:pt idx="15">
                  <c:v>33</c:v>
                </c:pt>
                <c:pt idx="16">
                  <c:v>32</c:v>
                </c:pt>
                <c:pt idx="17">
                  <c:v>31</c:v>
                </c:pt>
                <c:pt idx="18">
                  <c:v>30</c:v>
                </c:pt>
                <c:pt idx="19">
                  <c:v>29</c:v>
                </c:pt>
                <c:pt idx="20">
                  <c:v>28</c:v>
                </c:pt>
                <c:pt idx="21">
                  <c:v>27</c:v>
                </c:pt>
                <c:pt idx="22">
                  <c:v>26</c:v>
                </c:pt>
                <c:pt idx="23">
                  <c:v>25</c:v>
                </c:pt>
                <c:pt idx="24">
                  <c:v>24</c:v>
                </c:pt>
                <c:pt idx="25">
                  <c:v>23</c:v>
                </c:pt>
                <c:pt idx="26">
                  <c:v>22</c:v>
                </c:pt>
                <c:pt idx="27">
                  <c:v>21</c:v>
                </c:pt>
                <c:pt idx="28">
                  <c:v>20</c:v>
                </c:pt>
                <c:pt idx="29">
                  <c:v>19</c:v>
                </c:pt>
                <c:pt idx="30">
                  <c:v>18</c:v>
                </c:pt>
                <c:pt idx="31">
                  <c:v>17</c:v>
                </c:pt>
                <c:pt idx="32">
                  <c:v>16</c:v>
                </c:pt>
                <c:pt idx="33">
                  <c:v>15</c:v>
                </c:pt>
                <c:pt idx="34">
                  <c:v>14</c:v>
                </c:pt>
                <c:pt idx="35">
                  <c:v>13</c:v>
                </c:pt>
                <c:pt idx="36">
                  <c:v>12</c:v>
                </c:pt>
                <c:pt idx="37">
                  <c:v>11</c:v>
                </c:pt>
                <c:pt idx="38">
                  <c:v>10</c:v>
                </c:pt>
                <c:pt idx="39">
                  <c:v>9</c:v>
                </c:pt>
                <c:pt idx="40">
                  <c:v>8</c:v>
                </c:pt>
                <c:pt idx="41">
                  <c:v>7</c:v>
                </c:pt>
                <c:pt idx="42">
                  <c:v>6</c:v>
                </c:pt>
                <c:pt idx="43">
                  <c:v>5</c:v>
                </c:pt>
                <c:pt idx="44">
                  <c:v>4</c:v>
                </c:pt>
                <c:pt idx="45">
                  <c:v>3</c:v>
                </c:pt>
                <c:pt idx="46">
                  <c:v>2</c:v>
                </c:pt>
                <c:pt idx="47">
                  <c:v>1</c:v>
                </c:pt>
              </c:numCache>
            </c:numRef>
          </c:xVal>
          <c:yVal>
            <c:numRef>
              <c:f>Colorado_Price_of_Natural_Gas!$C$6:$C$53</c:f>
              <c:numCache>
                <c:formatCode>"$"#,##0.00</c:formatCode>
                <c:ptCount val="48"/>
                <c:pt idx="0">
                  <c:v>8.15</c:v>
                </c:pt>
                <c:pt idx="1">
                  <c:v>7.26</c:v>
                </c:pt>
                <c:pt idx="2">
                  <c:v>7.58</c:v>
                </c:pt>
                <c:pt idx="3">
                  <c:v>7.84</c:v>
                </c:pt>
                <c:pt idx="4">
                  <c:v>7.58</c:v>
                </c:pt>
                <c:pt idx="5">
                  <c:v>7.56</c:v>
                </c:pt>
                <c:pt idx="6">
                  <c:v>9.01</c:v>
                </c:pt>
                <c:pt idx="7">
                  <c:v>8.1</c:v>
                </c:pt>
                <c:pt idx="8">
                  <c:v>9.61</c:v>
                </c:pt>
                <c:pt idx="9">
                  <c:v>9.3800000000000008</c:v>
                </c:pt>
                <c:pt idx="10">
                  <c:v>7.48</c:v>
                </c:pt>
                <c:pt idx="11">
                  <c:v>5.93</c:v>
                </c:pt>
                <c:pt idx="12">
                  <c:v>4.82</c:v>
                </c:pt>
                <c:pt idx="13">
                  <c:v>7.71</c:v>
                </c:pt>
                <c:pt idx="14">
                  <c:v>5.37</c:v>
                </c:pt>
                <c:pt idx="15">
                  <c:v>4.55</c:v>
                </c:pt>
                <c:pt idx="16">
                  <c:v>4.34</c:v>
                </c:pt>
                <c:pt idx="17">
                  <c:v>4.0599999999999996</c:v>
                </c:pt>
                <c:pt idx="18">
                  <c:v>3.67</c:v>
                </c:pt>
                <c:pt idx="19">
                  <c:v>4.2300000000000004</c:v>
                </c:pt>
                <c:pt idx="20">
                  <c:v>4.37</c:v>
                </c:pt>
                <c:pt idx="21">
                  <c:v>4.04</c:v>
                </c:pt>
                <c:pt idx="22">
                  <c:v>4</c:v>
                </c:pt>
                <c:pt idx="23">
                  <c:v>4.04</c:v>
                </c:pt>
                <c:pt idx="24">
                  <c:v>3.99</c:v>
                </c:pt>
                <c:pt idx="25">
                  <c:v>4.05</c:v>
                </c:pt>
                <c:pt idx="26">
                  <c:v>3.86</c:v>
                </c:pt>
                <c:pt idx="27">
                  <c:v>4.1500000000000004</c:v>
                </c:pt>
                <c:pt idx="28">
                  <c:v>4.43</c:v>
                </c:pt>
                <c:pt idx="29">
                  <c:v>4.6100000000000003</c:v>
                </c:pt>
                <c:pt idx="30">
                  <c:v>4.7699999999999996</c:v>
                </c:pt>
                <c:pt idx="31">
                  <c:v>5.04</c:v>
                </c:pt>
                <c:pt idx="32">
                  <c:v>4.57</c:v>
                </c:pt>
                <c:pt idx="33">
                  <c:v>3.84</c:v>
                </c:pt>
                <c:pt idx="34">
                  <c:v>3.01</c:v>
                </c:pt>
                <c:pt idx="35">
                  <c:v>2.29</c:v>
                </c:pt>
                <c:pt idx="36">
                  <c:v>1.73</c:v>
                </c:pt>
                <c:pt idx="37">
                  <c:v>1.4</c:v>
                </c:pt>
                <c:pt idx="38">
                  <c:v>1.0900000000000001</c:v>
                </c:pt>
                <c:pt idx="39">
                  <c:v>0.99</c:v>
                </c:pt>
                <c:pt idx="40">
                  <c:v>0.83</c:v>
                </c:pt>
                <c:pt idx="41">
                  <c:v>0.68</c:v>
                </c:pt>
                <c:pt idx="42">
                  <c:v>0.64</c:v>
                </c:pt>
                <c:pt idx="43">
                  <c:v>0.59</c:v>
                </c:pt>
                <c:pt idx="44">
                  <c:v>0.56999999999999995</c:v>
                </c:pt>
                <c:pt idx="45">
                  <c:v>0.55000000000000004</c:v>
                </c:pt>
                <c:pt idx="46">
                  <c:v>0.55000000000000004</c:v>
                </c:pt>
                <c:pt idx="47">
                  <c:v>0.56000000000000005</c:v>
                </c:pt>
              </c:numCache>
            </c:numRef>
          </c:yVal>
          <c:smooth val="0"/>
          <c:extLst>
            <c:ext xmlns:c16="http://schemas.microsoft.com/office/drawing/2014/chart" uri="{C3380CC4-5D6E-409C-BE32-E72D297353CC}">
              <c16:uniqueId val="{00000000-0AED-40CB-AF1A-46292EF2C6AB}"/>
            </c:ext>
          </c:extLst>
        </c:ser>
        <c:dLbls>
          <c:showLegendKey val="0"/>
          <c:showVal val="0"/>
          <c:showCatName val="0"/>
          <c:showSerName val="0"/>
          <c:showPercent val="0"/>
          <c:showBubbleSize val="0"/>
        </c:dLbls>
        <c:axId val="278775304"/>
        <c:axId val="278775696"/>
      </c:scatterChart>
      <c:valAx>
        <c:axId val="2787753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8775696"/>
        <c:crosses val="autoZero"/>
        <c:crossBetween val="midCat"/>
      </c:valAx>
      <c:valAx>
        <c:axId val="2787756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877530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5196 Therms of Natural Gas with</a:t>
            </a:r>
            <a:r>
              <a:rPr lang="en-US" sz="1600" baseline="0"/>
              <a:t> Leakage</a:t>
            </a:r>
            <a:endParaRPr lang="en-US" sz="1600"/>
          </a:p>
        </c:rich>
      </c:tx>
      <c:overlay val="0"/>
    </c:title>
    <c:autoTitleDeleted val="0"/>
    <c:plotArea>
      <c:layout>
        <c:manualLayout>
          <c:layoutTarget val="inner"/>
          <c:xMode val="edge"/>
          <c:yMode val="edge"/>
          <c:x val="0.14898372312298849"/>
          <c:y val="0.20354878156536049"/>
          <c:w val="0.68306989624763548"/>
          <c:h val="0.49415099739030244"/>
        </c:manualLayout>
      </c:layout>
      <c:scatterChart>
        <c:scatterStyle val="smoothMarker"/>
        <c:varyColors val="0"/>
        <c:ser>
          <c:idx val="0"/>
          <c:order val="0"/>
          <c:marker>
            <c:symbol val="none"/>
          </c:marker>
          <c:trendline>
            <c:trendlineType val="linear"/>
            <c:dispRSqr val="1"/>
            <c:dispEq val="1"/>
            <c:trendlineLbl>
              <c:layout>
                <c:manualLayout>
                  <c:x val="-0.30620201321541085"/>
                  <c:y val="-1.4212070933451436E-2"/>
                </c:manualLayout>
              </c:layout>
              <c:numFmt formatCode="General" sourceLinked="0"/>
              <c:txPr>
                <a:bodyPr/>
                <a:lstStyle/>
                <a:p>
                  <a:pPr>
                    <a:defRPr>
                      <a:solidFill>
                        <a:schemeClr val="accent1">
                          <a:lumMod val="75000"/>
                        </a:schemeClr>
                      </a:solidFill>
                    </a:defRPr>
                  </a:pPr>
                  <a:endParaRPr lang="en-US"/>
                </a:p>
              </c:txPr>
            </c:trendlineLbl>
          </c:trendline>
          <c:xVal>
            <c:numRef>
              <c:f>MethaneLeakage!$K$8:$K$18</c:f>
              <c:numCache>
                <c:formatCode>0.0%</c:formatCode>
                <c:ptCount val="11"/>
                <c:pt idx="0">
                  <c:v>0</c:v>
                </c:pt>
                <c:pt idx="1">
                  <c:v>0.01</c:v>
                </c:pt>
                <c:pt idx="2">
                  <c:v>0.02</c:v>
                </c:pt>
                <c:pt idx="3">
                  <c:v>2.5000000000000001E-2</c:v>
                </c:pt>
                <c:pt idx="4">
                  <c:v>0.03</c:v>
                </c:pt>
                <c:pt idx="5">
                  <c:v>3.5000000000000003E-2</c:v>
                </c:pt>
                <c:pt idx="6">
                  <c:v>0.04</c:v>
                </c:pt>
                <c:pt idx="7">
                  <c:v>0.05</c:v>
                </c:pt>
                <c:pt idx="8">
                  <c:v>0.06</c:v>
                </c:pt>
                <c:pt idx="9">
                  <c:v>0.1</c:v>
                </c:pt>
                <c:pt idx="10">
                  <c:v>0.12</c:v>
                </c:pt>
              </c:numCache>
            </c:numRef>
          </c:xVal>
          <c:yVal>
            <c:numRef>
              <c:f>MethaneLeakage!$Q$8:$Q$18</c:f>
              <c:numCache>
                <c:formatCode>#,##0</c:formatCode>
                <c:ptCount val="11"/>
                <c:pt idx="0">
                  <c:v>26</c:v>
                </c:pt>
                <c:pt idx="1">
                  <c:v>34.512662766725995</c:v>
                </c:pt>
                <c:pt idx="2">
                  <c:v>42.703368984899484</c:v>
                </c:pt>
                <c:pt idx="3">
                  <c:v>46.798722093986228</c:v>
                </c:pt>
                <c:pt idx="4">
                  <c:v>50.894075203072973</c:v>
                </c:pt>
                <c:pt idx="5">
                  <c:v>54.989428312159717</c:v>
                </c:pt>
                <c:pt idx="6">
                  <c:v>59.084781421246461</c:v>
                </c:pt>
                <c:pt idx="7">
                  <c:v>67.27548763941995</c:v>
                </c:pt>
                <c:pt idx="8">
                  <c:v>75.466193857593439</c:v>
                </c:pt>
                <c:pt idx="9">
                  <c:v>108.22901873028741</c:v>
                </c:pt>
                <c:pt idx="10">
                  <c:v>124.61043116663437</c:v>
                </c:pt>
              </c:numCache>
            </c:numRef>
          </c:yVal>
          <c:smooth val="1"/>
          <c:extLst>
            <c:ext xmlns:c16="http://schemas.microsoft.com/office/drawing/2014/chart" uri="{C3380CC4-5D6E-409C-BE32-E72D297353CC}">
              <c16:uniqueId val="{00000000-EDD2-4D0A-8A13-853CEB95C9F7}"/>
            </c:ext>
          </c:extLst>
        </c:ser>
        <c:dLbls>
          <c:showLegendKey val="0"/>
          <c:showVal val="0"/>
          <c:showCatName val="0"/>
          <c:showSerName val="0"/>
          <c:showPercent val="0"/>
          <c:showBubbleSize val="0"/>
        </c:dLbls>
        <c:axId val="278666056"/>
        <c:axId val="278666448"/>
      </c:scatterChart>
      <c:scatterChart>
        <c:scatterStyle val="smoothMarker"/>
        <c:varyColors val="0"/>
        <c:ser>
          <c:idx val="1"/>
          <c:order val="1"/>
          <c:tx>
            <c:v>Multiplier</c:v>
          </c:tx>
          <c:spPr>
            <a:ln>
              <a:solidFill>
                <a:srgbClr val="FF0000"/>
              </a:solidFill>
            </a:ln>
          </c:spPr>
          <c:marker>
            <c:symbol val="none"/>
          </c:marker>
          <c:trendline>
            <c:trendlineType val="linear"/>
            <c:dispRSqr val="1"/>
            <c:dispEq val="1"/>
            <c:trendlineLbl>
              <c:layout>
                <c:manualLayout>
                  <c:x val="-7.9803522432290476E-3"/>
                  <c:y val="0.19403722082652913"/>
                </c:manualLayout>
              </c:layout>
              <c:numFmt formatCode="General" sourceLinked="0"/>
              <c:txPr>
                <a:bodyPr/>
                <a:lstStyle/>
                <a:p>
                  <a:pPr>
                    <a:defRPr>
                      <a:solidFill>
                        <a:srgbClr val="FF0000"/>
                      </a:solidFill>
                    </a:defRPr>
                  </a:pPr>
                  <a:endParaRPr lang="en-US"/>
                </a:p>
              </c:txPr>
            </c:trendlineLbl>
          </c:trendline>
          <c:xVal>
            <c:numRef>
              <c:f>MethaneLeakage!$K$8:$K$18</c:f>
              <c:numCache>
                <c:formatCode>0.0%</c:formatCode>
                <c:ptCount val="11"/>
                <c:pt idx="0">
                  <c:v>0</c:v>
                </c:pt>
                <c:pt idx="1">
                  <c:v>0.01</c:v>
                </c:pt>
                <c:pt idx="2">
                  <c:v>0.02</c:v>
                </c:pt>
                <c:pt idx="3">
                  <c:v>2.5000000000000001E-2</c:v>
                </c:pt>
                <c:pt idx="4">
                  <c:v>0.03</c:v>
                </c:pt>
                <c:pt idx="5">
                  <c:v>3.5000000000000003E-2</c:v>
                </c:pt>
                <c:pt idx="6">
                  <c:v>0.04</c:v>
                </c:pt>
                <c:pt idx="7">
                  <c:v>0.05</c:v>
                </c:pt>
                <c:pt idx="8">
                  <c:v>0.06</c:v>
                </c:pt>
                <c:pt idx="9">
                  <c:v>0.1</c:v>
                </c:pt>
                <c:pt idx="10">
                  <c:v>0.12</c:v>
                </c:pt>
              </c:numCache>
            </c:numRef>
          </c:xVal>
          <c:yVal>
            <c:numRef>
              <c:f>MethaneLeakage!$R$8:$R$18</c:f>
              <c:numCache>
                <c:formatCode>#,##0.00</c:formatCode>
                <c:ptCount val="11"/>
                <c:pt idx="0">
                  <c:v>0.98776851758878048</c:v>
                </c:pt>
                <c:pt idx="1">
                  <c:v>1.3111739130434783</c:v>
                </c:pt>
                <c:pt idx="2">
                  <c:v>1.6223478260869566</c:v>
                </c:pt>
                <c:pt idx="3">
                  <c:v>1.7779347826086958</c:v>
                </c:pt>
                <c:pt idx="4">
                  <c:v>1.9335217391304347</c:v>
                </c:pt>
                <c:pt idx="5">
                  <c:v>2.0891086956521741</c:v>
                </c:pt>
                <c:pt idx="6">
                  <c:v>2.2446956521739132</c:v>
                </c:pt>
                <c:pt idx="7">
                  <c:v>2.5558695652173911</c:v>
                </c:pt>
                <c:pt idx="8">
                  <c:v>2.8670434782608694</c:v>
                </c:pt>
                <c:pt idx="9">
                  <c:v>4.111739130434783</c:v>
                </c:pt>
                <c:pt idx="10">
                  <c:v>4.7340869565217387</c:v>
                </c:pt>
              </c:numCache>
            </c:numRef>
          </c:yVal>
          <c:smooth val="1"/>
          <c:extLst>
            <c:ext xmlns:c16="http://schemas.microsoft.com/office/drawing/2014/chart" uri="{C3380CC4-5D6E-409C-BE32-E72D297353CC}">
              <c16:uniqueId val="{00000001-EDD2-4D0A-8A13-853CEB95C9F7}"/>
            </c:ext>
          </c:extLst>
        </c:ser>
        <c:dLbls>
          <c:showLegendKey val="0"/>
          <c:showVal val="0"/>
          <c:showCatName val="0"/>
          <c:showSerName val="0"/>
          <c:showPercent val="0"/>
          <c:showBubbleSize val="0"/>
        </c:dLbls>
        <c:axId val="278667232"/>
        <c:axId val="278666840"/>
      </c:scatterChart>
      <c:valAx>
        <c:axId val="278666056"/>
        <c:scaling>
          <c:orientation val="minMax"/>
          <c:max val="0.12000000000000002"/>
        </c:scaling>
        <c:delete val="0"/>
        <c:axPos val="b"/>
        <c:title>
          <c:tx>
            <c:rich>
              <a:bodyPr/>
              <a:lstStyle/>
              <a:p>
                <a:pPr>
                  <a:defRPr/>
                </a:pPr>
                <a:r>
                  <a:rPr lang="en-US"/>
                  <a:t>Leakage (% of production)</a:t>
                </a:r>
              </a:p>
            </c:rich>
          </c:tx>
          <c:overlay val="0"/>
        </c:title>
        <c:numFmt formatCode="0.0%" sourceLinked="1"/>
        <c:majorTickMark val="out"/>
        <c:minorTickMark val="none"/>
        <c:tickLblPos val="nextTo"/>
        <c:crossAx val="278666448"/>
        <c:crosses val="autoZero"/>
        <c:crossBetween val="midCat"/>
      </c:valAx>
      <c:valAx>
        <c:axId val="278666448"/>
        <c:scaling>
          <c:orientation val="minMax"/>
        </c:scaling>
        <c:delete val="0"/>
        <c:axPos val="l"/>
        <c:majorGridlines/>
        <c:title>
          <c:tx>
            <c:rich>
              <a:bodyPr/>
              <a:lstStyle/>
              <a:p>
                <a:pPr>
                  <a:defRPr>
                    <a:solidFill>
                      <a:schemeClr val="accent1">
                        <a:lumMod val="75000"/>
                      </a:schemeClr>
                    </a:solidFill>
                  </a:defRPr>
                </a:pPr>
                <a:r>
                  <a:rPr lang="en-US" baseline="0">
                    <a:solidFill>
                      <a:schemeClr val="accent1">
                        <a:lumMod val="75000"/>
                      </a:schemeClr>
                    </a:solidFill>
                  </a:rPr>
                  <a:t>CO2 Emissions (Metric Tonnes of CO</a:t>
                </a:r>
                <a:r>
                  <a:rPr lang="en-US" baseline="-25000">
                    <a:solidFill>
                      <a:schemeClr val="accent1">
                        <a:lumMod val="75000"/>
                      </a:schemeClr>
                    </a:solidFill>
                  </a:rPr>
                  <a:t>2 </a:t>
                </a:r>
                <a:r>
                  <a:rPr lang="en-US" baseline="0">
                    <a:solidFill>
                      <a:schemeClr val="accent1">
                        <a:lumMod val="75000"/>
                      </a:schemeClr>
                    </a:solidFill>
                  </a:rPr>
                  <a:t>)</a:t>
                </a:r>
              </a:p>
            </c:rich>
          </c:tx>
          <c:layout>
            <c:manualLayout>
              <c:xMode val="edge"/>
              <c:yMode val="edge"/>
              <c:x val="1.9769043855983041E-2"/>
              <c:y val="0.12504331618139819"/>
            </c:manualLayout>
          </c:layout>
          <c:overlay val="0"/>
        </c:title>
        <c:numFmt formatCode="#,##0" sourceLinked="1"/>
        <c:majorTickMark val="out"/>
        <c:minorTickMark val="none"/>
        <c:tickLblPos val="nextTo"/>
        <c:txPr>
          <a:bodyPr/>
          <a:lstStyle/>
          <a:p>
            <a:pPr>
              <a:defRPr>
                <a:solidFill>
                  <a:schemeClr val="accent1">
                    <a:lumMod val="75000"/>
                  </a:schemeClr>
                </a:solidFill>
              </a:defRPr>
            </a:pPr>
            <a:endParaRPr lang="en-US"/>
          </a:p>
        </c:txPr>
        <c:crossAx val="278666056"/>
        <c:crosses val="autoZero"/>
        <c:crossBetween val="midCat"/>
      </c:valAx>
      <c:valAx>
        <c:axId val="278666840"/>
        <c:scaling>
          <c:orientation val="minMax"/>
          <c:max val="7"/>
        </c:scaling>
        <c:delete val="0"/>
        <c:axPos val="r"/>
        <c:title>
          <c:tx>
            <c:rich>
              <a:bodyPr/>
              <a:lstStyle/>
              <a:p>
                <a:pPr>
                  <a:defRPr>
                    <a:solidFill>
                      <a:srgbClr val="FF0000"/>
                    </a:solidFill>
                  </a:defRPr>
                </a:pPr>
                <a:r>
                  <a:rPr lang="en-US">
                    <a:solidFill>
                      <a:srgbClr val="FF0000"/>
                    </a:solidFill>
                  </a:rPr>
                  <a:t>Leakage Multiplier</a:t>
                </a:r>
              </a:p>
            </c:rich>
          </c:tx>
          <c:layout>
            <c:manualLayout>
              <c:xMode val="edge"/>
              <c:yMode val="edge"/>
              <c:x val="0.92864921108946985"/>
              <c:y val="0.25825098259098583"/>
            </c:manualLayout>
          </c:layout>
          <c:overlay val="0"/>
        </c:title>
        <c:numFmt formatCode="#,##0.00" sourceLinked="1"/>
        <c:majorTickMark val="out"/>
        <c:minorTickMark val="in"/>
        <c:tickLblPos val="nextTo"/>
        <c:spPr>
          <a:ln/>
        </c:spPr>
        <c:txPr>
          <a:bodyPr/>
          <a:lstStyle/>
          <a:p>
            <a:pPr>
              <a:defRPr>
                <a:solidFill>
                  <a:srgbClr val="FF0000"/>
                </a:solidFill>
              </a:defRPr>
            </a:pPr>
            <a:endParaRPr lang="en-US"/>
          </a:p>
        </c:txPr>
        <c:crossAx val="278667232"/>
        <c:crosses val="max"/>
        <c:crossBetween val="midCat"/>
        <c:majorUnit val="1"/>
      </c:valAx>
      <c:valAx>
        <c:axId val="278667232"/>
        <c:scaling>
          <c:orientation val="minMax"/>
        </c:scaling>
        <c:delete val="1"/>
        <c:axPos val="b"/>
        <c:numFmt formatCode="0.0%" sourceLinked="1"/>
        <c:majorTickMark val="out"/>
        <c:minorTickMark val="none"/>
        <c:tickLblPos val="none"/>
        <c:crossAx val="278666840"/>
        <c:crosses val="autoZero"/>
        <c:crossBetween val="midCat"/>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plotArea>
      <cx:plotAreaRegion>
        <cx:series layoutId="sunburst" uniqueId="{E9CE03B1-B05B-418C-AFD6-EF49E9D3C78F}">
          <cx:dataPt idx="0">
            <cx:spPr>
              <a:solidFill>
                <a:schemeClr val="tx1"/>
              </a:solidFill>
            </cx:spPr>
          </cx:dataPt>
          <cx:dataPt idx="1">
            <cx:spPr>
              <a:solidFill>
                <a:srgbClr val="C00000"/>
              </a:solidFill>
            </cx:spPr>
          </cx:dataPt>
          <cx:dataPt idx="2">
            <cx:spPr>
              <a:solidFill>
                <a:srgbClr val="00B050"/>
              </a:solidFill>
            </cx:spPr>
          </cx:dataPt>
          <cx:dataPt idx="4">
            <cx:spPr>
              <a:solidFill>
                <a:schemeClr val="accent6">
                  <a:lumMod val="60000"/>
                  <a:lumOff val="40000"/>
                </a:schemeClr>
              </a:solidFill>
            </cx:spPr>
          </cx:dataPt>
          <cx:dataLabels pos="ctr">
            <cx:visibility seriesName="0" categoryName="1" value="1"/>
          </cx:dataLabels>
          <cx:dataId val="0"/>
        </cx:series>
      </cx:plotAreaRegion>
    </cx:plotArea>
  </cx:chart>
  <cx:clrMapOvr bg1="lt1" tx1="dk1" bg2="lt2" tx2="dk2" accent1="accent1" accent2="accent2" accent3="accent3" accent4="accent4" accent5="accent5" accent6="accent6" hlink="hlink" folHlink="folHlink"/>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xml"/><Relationship Id="rId1" Type="http://schemas.openxmlformats.org/officeDocument/2006/relationships/image" Target="../media/image5.jpg"/><Relationship Id="rId4" Type="http://schemas.openxmlformats.org/officeDocument/2006/relationships/image" Target="../media/image7.emf"/></Relationships>
</file>

<file path=xl/drawings/_rels/drawing3.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image" Target="../media/image9.png"/><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jpeg"/><Relationship Id="rId1" Type="http://schemas.openxmlformats.org/officeDocument/2006/relationships/image" Target="../media/image12.jpeg"/><Relationship Id="rId5" Type="http://schemas.openxmlformats.org/officeDocument/2006/relationships/image" Target="../media/image16.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31</xdr:row>
      <xdr:rowOff>38100</xdr:rowOff>
    </xdr:from>
    <xdr:to>
      <xdr:col>3</xdr:col>
      <xdr:colOff>352425</xdr:colOff>
      <xdr:row>43</xdr:row>
      <xdr:rowOff>69909</xdr:rowOff>
    </xdr:to>
    <xdr:pic>
      <xdr:nvPicPr>
        <xdr:cNvPr id="2" name="Picture 1" descr="http://ecx.images-amazon.com/images/I/517APHpe0uL._SX322_BO1,204,203,200_.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4150" y="6038850"/>
          <a:ext cx="1504950" cy="2317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38101</xdr:colOff>
      <xdr:row>45</xdr:row>
      <xdr:rowOff>28574</xdr:rowOff>
    </xdr:from>
    <xdr:to>
      <xdr:col>3</xdr:col>
      <xdr:colOff>408335</xdr:colOff>
      <xdr:row>55</xdr:row>
      <xdr:rowOff>182879</xdr:rowOff>
    </xdr:to>
    <xdr:pic>
      <xdr:nvPicPr>
        <xdr:cNvPr id="3" name="Picture 2" descr="http://ecx.images-amazon.com/images/I/51cYxCR%2By1L._SX322_BO1,204,203,200_.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95576" y="8696324"/>
          <a:ext cx="1589434" cy="244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58</xdr:row>
      <xdr:rowOff>47624</xdr:rowOff>
    </xdr:from>
    <xdr:to>
      <xdr:col>4</xdr:col>
      <xdr:colOff>219075</xdr:colOff>
      <xdr:row>68</xdr:row>
      <xdr:rowOff>133349</xdr:rowOff>
    </xdr:to>
    <xdr:pic>
      <xdr:nvPicPr>
        <xdr:cNvPr id="5" name="Picture 4" descr="http://ecx.images-amazon.com/images/I/51fh3QfTpfL._SY498_BO1,204,203,200_.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14625" y="11572874"/>
          <a:ext cx="1990725" cy="199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71</xdr:row>
      <xdr:rowOff>180975</xdr:rowOff>
    </xdr:from>
    <xdr:to>
      <xdr:col>4</xdr:col>
      <xdr:colOff>383195</xdr:colOff>
      <xdr:row>89</xdr:row>
      <xdr:rowOff>38100</xdr:rowOff>
    </xdr:to>
    <xdr:pic>
      <xdr:nvPicPr>
        <xdr:cNvPr id="6" name="Picture 5" descr="http://ecx.images-amazon.com/images/I/516DYhsFpIL._SX331_BO1,204,203,200_.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76525" y="14182725"/>
          <a:ext cx="2192945" cy="3286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41</xdr:row>
      <xdr:rowOff>28574</xdr:rowOff>
    </xdr:from>
    <xdr:to>
      <xdr:col>0</xdr:col>
      <xdr:colOff>673985</xdr:colOff>
      <xdr:row>41</xdr:row>
      <xdr:rowOff>547445</xdr:rowOff>
    </xdr:to>
    <xdr:sp macro="" textlink="">
      <xdr:nvSpPr>
        <xdr:cNvPr id="2" name="object 8"/>
        <xdr:cNvSpPr/>
      </xdr:nvSpPr>
      <xdr:spPr>
        <a:xfrm>
          <a:off x="57150" y="9660254"/>
          <a:ext cx="616835" cy="518871"/>
        </a:xfrm>
        <a:prstGeom prst="rect">
          <a:avLst/>
        </a:prstGeom>
        <a:blipFill>
          <a:blip xmlns:r="http://schemas.openxmlformats.org/officeDocument/2006/relationships" r:embed="rId1" cstate="print"/>
          <a:srcRect/>
          <a:stretch>
            <a:fillRect l="-1" r="-124771"/>
          </a:stretch>
        </a:blipFill>
      </xdr:spPr>
      <xdr:txBody>
        <a:bodyPr wrap="square" lIns="0" tIns="0" rIns="0" bIns="0" rtlCol="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sz="2329"/>
        </a:p>
      </xdr:txBody>
    </xdr:sp>
    <xdr:clientData/>
  </xdr:twoCellAnchor>
  <xdr:twoCellAnchor>
    <xdr:from>
      <xdr:col>1</xdr:col>
      <xdr:colOff>36740</xdr:colOff>
      <xdr:row>42</xdr:row>
      <xdr:rowOff>140154</xdr:rowOff>
    </xdr:from>
    <xdr:to>
      <xdr:col>8</xdr:col>
      <xdr:colOff>921327</xdr:colOff>
      <xdr:row>68</xdr:row>
      <xdr:rowOff>0</xdr:rowOff>
    </xdr:to>
    <xdr:grpSp>
      <xdr:nvGrpSpPr>
        <xdr:cNvPr id="3" name="Group 2"/>
        <xdr:cNvGrpSpPr/>
      </xdr:nvGrpSpPr>
      <xdr:grpSpPr>
        <a:xfrm>
          <a:off x="874940" y="10366194"/>
          <a:ext cx="8100727" cy="5010966"/>
          <a:chOff x="874940" y="10055679"/>
          <a:chExt cx="7301592" cy="5114596"/>
        </a:xfrm>
      </xdr:grpSpPr>
      <xdr:graphicFrame macro="">
        <xdr:nvGraphicFramePr>
          <xdr:cNvPr id="4" name="Chart 3"/>
          <xdr:cNvGraphicFramePr/>
        </xdr:nvGraphicFramePr>
        <xdr:xfrm>
          <a:off x="874940" y="10055679"/>
          <a:ext cx="7301592" cy="5114596"/>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5" name="Picture 4" descr="GreenFirstLogo2"/>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059" t="648" r="55493" b="23845"/>
          <a:stretch>
            <a:fillRect/>
          </a:stretch>
        </xdr:blipFill>
        <xdr:spPr bwMode="auto">
          <a:xfrm>
            <a:off x="1257300" y="14328771"/>
            <a:ext cx="1013698" cy="537686"/>
          </a:xfrm>
          <a:prstGeom prst="rect">
            <a:avLst/>
          </a:prstGeom>
          <a:noFill/>
          <a:ln>
            <a:noFill/>
          </a:ln>
          <a:effectLst/>
        </xdr:spPr>
      </xdr:pic>
      <xdr:sp macro="" textlink="">
        <xdr:nvSpPr>
          <xdr:cNvPr id="6" name="object 8"/>
          <xdr:cNvSpPr/>
        </xdr:nvSpPr>
        <xdr:spPr>
          <a:xfrm>
            <a:off x="6904623" y="10115550"/>
            <a:ext cx="1160355" cy="1004646"/>
          </a:xfrm>
          <a:prstGeom prst="rect">
            <a:avLst/>
          </a:prstGeom>
          <a:blipFill>
            <a:blip xmlns:r="http://schemas.openxmlformats.org/officeDocument/2006/relationships" r:embed="rId1" cstate="print"/>
            <a:srcRect/>
            <a:stretch>
              <a:fillRect l="-1" r="-124771"/>
            </a:stretch>
          </a:blipFill>
        </xdr:spPr>
        <xdr:txBody>
          <a:bodyPr wrap="square" lIns="0" tIns="0" rIns="0" bIns="0" rtlCol="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sz="2329"/>
          </a:p>
        </xdr:txBody>
      </xdr:sp>
    </xdr:grpSp>
    <xdr:clientData/>
  </xdr:twoCellAnchor>
  <xdr:twoCellAnchor editAs="oneCell">
    <xdr:from>
      <xdr:col>10</xdr:col>
      <xdr:colOff>763589</xdr:colOff>
      <xdr:row>0</xdr:row>
      <xdr:rowOff>65936</xdr:rowOff>
    </xdr:from>
    <xdr:to>
      <xdr:col>11</xdr:col>
      <xdr:colOff>942975</xdr:colOff>
      <xdr:row>1</xdr:row>
      <xdr:rowOff>400050</xdr:rowOff>
    </xdr:to>
    <xdr:pic>
      <xdr:nvPicPr>
        <xdr:cNvPr id="7" name="Picture 6" descr="GreenFirstLogo2"/>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059" t="648" r="55493" b="23845"/>
        <a:stretch>
          <a:fillRect/>
        </a:stretch>
      </xdr:blipFill>
      <xdr:spPr bwMode="auto">
        <a:xfrm>
          <a:off x="10890569" y="65936"/>
          <a:ext cx="1360486" cy="699874"/>
        </a:xfrm>
        <a:prstGeom prst="rect">
          <a:avLst/>
        </a:prstGeom>
        <a:noFill/>
        <a:ln>
          <a:noFill/>
        </a:ln>
        <a:effectLst/>
      </xdr:spPr>
    </xdr:pic>
    <xdr:clientData/>
  </xdr:twoCellAnchor>
  <xdr:twoCellAnchor>
    <xdr:from>
      <xdr:col>6</xdr:col>
      <xdr:colOff>653960</xdr:colOff>
      <xdr:row>55</xdr:row>
      <xdr:rowOff>170634</xdr:rowOff>
    </xdr:from>
    <xdr:to>
      <xdr:col>7</xdr:col>
      <xdr:colOff>775980</xdr:colOff>
      <xdr:row>58</xdr:row>
      <xdr:rowOff>18891</xdr:rowOff>
    </xdr:to>
    <xdr:pic>
      <xdr:nvPicPr>
        <xdr:cNvPr id="8" name="Picture 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8768" b="-29898"/>
        <a:stretch/>
      </xdr:blipFill>
      <xdr:spPr bwMode="auto">
        <a:xfrm>
          <a:off x="6826160" y="12972234"/>
          <a:ext cx="1127860" cy="442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71921</xdr:colOff>
      <xdr:row>15</xdr:row>
      <xdr:rowOff>33752</xdr:rowOff>
    </xdr:from>
    <xdr:to>
      <xdr:col>4</xdr:col>
      <xdr:colOff>3910988</xdr:colOff>
      <xdr:row>20</xdr:row>
      <xdr:rowOff>342882</xdr:rowOff>
    </xdr:to>
    <xdr:pic>
      <xdr:nvPicPr>
        <xdr:cNvPr id="2" name="Picture 1" descr="http://www.xcelenergy.com/staticfiles/xe/Marketing/Images/2014_EnergyMix_PSCo.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79487" y="15347198"/>
          <a:ext cx="3839067" cy="2393154"/>
        </a:xfrm>
        <a:prstGeom prst="rect">
          <a:avLst/>
        </a:prstGeom>
        <a:noFill/>
        <a:extLst/>
      </xdr:spPr>
    </xdr:pic>
    <xdr:clientData/>
  </xdr:twoCellAnchor>
  <xdr:twoCellAnchor editAs="oneCell">
    <xdr:from>
      <xdr:col>20</xdr:col>
      <xdr:colOff>76199</xdr:colOff>
      <xdr:row>13</xdr:row>
      <xdr:rowOff>561975</xdr:rowOff>
    </xdr:from>
    <xdr:to>
      <xdr:col>34</xdr:col>
      <xdr:colOff>209550</xdr:colOff>
      <xdr:row>21</xdr:row>
      <xdr:rowOff>59204</xdr:rowOff>
    </xdr:to>
    <xdr:pic>
      <xdr:nvPicPr>
        <xdr:cNvPr id="3" name="Picture 2"/>
        <xdr:cNvPicPr>
          <a:picLocks noChangeAspect="1"/>
        </xdr:cNvPicPr>
      </xdr:nvPicPr>
      <xdr:blipFill rotWithShape="1">
        <a:blip xmlns:r="http://schemas.openxmlformats.org/officeDocument/2006/relationships" r:embed="rId2"/>
        <a:srcRect t="612" r="24507" b="27319"/>
        <a:stretch/>
      </xdr:blipFill>
      <xdr:spPr>
        <a:xfrm>
          <a:off x="22050374" y="14001750"/>
          <a:ext cx="8667751" cy="5183655"/>
        </a:xfrm>
        <a:prstGeom prst="rect">
          <a:avLst/>
        </a:prstGeom>
      </xdr:spPr>
    </xdr:pic>
    <xdr:clientData/>
  </xdr:twoCellAnchor>
  <xdr:twoCellAnchor>
    <xdr:from>
      <xdr:col>11</xdr:col>
      <xdr:colOff>276225</xdr:colOff>
      <xdr:row>14</xdr:row>
      <xdr:rowOff>128588</xdr:rowOff>
    </xdr:from>
    <xdr:to>
      <xdr:col>20</xdr:col>
      <xdr:colOff>28575</xdr:colOff>
      <xdr:row>21</xdr:row>
      <xdr:rowOff>28575</xdr:rowOff>
    </xdr:to>
    <mc:AlternateContent xmlns:mc="http://schemas.openxmlformats.org/markup-compatibility/2006">
      <mc:Choice xmlns:cx1="http://schemas.microsoft.com/office/drawing/2015/9/8/chartex" Requires="cx1">
        <xdr:graphicFrame macro="">
          <xdr:nvGraphicFramePr>
            <xdr:cNvPr id="4" name="Chart 3"/>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20</xdr:row>
      <xdr:rowOff>0</xdr:rowOff>
    </xdr:from>
    <xdr:to>
      <xdr:col>1</xdr:col>
      <xdr:colOff>6190476</xdr:colOff>
      <xdr:row>41</xdr:row>
      <xdr:rowOff>123309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6229350"/>
          <a:ext cx="6190476" cy="41238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437803</xdr:colOff>
      <xdr:row>42</xdr:row>
      <xdr:rowOff>5576</xdr:rowOff>
    </xdr:from>
    <xdr:to>
      <xdr:col>22</xdr:col>
      <xdr:colOff>433040</xdr:colOff>
      <xdr:row>59</xdr:row>
      <xdr:rowOff>24626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519344</xdr:colOff>
      <xdr:row>26</xdr:row>
      <xdr:rowOff>133119</xdr:rowOff>
    </xdr:from>
    <xdr:to>
      <xdr:col>20</xdr:col>
      <xdr:colOff>220119</xdr:colOff>
      <xdr:row>41</xdr:row>
      <xdr:rowOff>23465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510886</xdr:colOff>
      <xdr:row>60</xdr:row>
      <xdr:rowOff>43296</xdr:rowOff>
    </xdr:from>
    <xdr:to>
      <xdr:col>0</xdr:col>
      <xdr:colOff>4579175</xdr:colOff>
      <xdr:row>78</xdr:row>
      <xdr:rowOff>122959</xdr:rowOff>
    </xdr:to>
    <xdr:pic>
      <xdr:nvPicPr>
        <xdr:cNvPr id="2" name="Picture 1" descr="Xcel2013.jpg"/>
        <xdr:cNvPicPr/>
      </xdr:nvPicPr>
      <xdr:blipFill>
        <a:blip xmlns:r="http://schemas.openxmlformats.org/officeDocument/2006/relationships" r:embed="rId1" cstate="print"/>
        <a:srcRect l="5220" t="56954" r="4460" b="7716"/>
        <a:stretch>
          <a:fillRect/>
        </a:stretch>
      </xdr:blipFill>
      <xdr:spPr>
        <a:xfrm>
          <a:off x="510886" y="15330921"/>
          <a:ext cx="4068289" cy="3546763"/>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10</xdr:col>
      <xdr:colOff>276226</xdr:colOff>
      <xdr:row>20</xdr:row>
      <xdr:rowOff>123825</xdr:rowOff>
    </xdr:from>
    <xdr:to>
      <xdr:col>18</xdr:col>
      <xdr:colOff>173182</xdr:colOff>
      <xdr:row>31</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372340</xdr:colOff>
      <xdr:row>26</xdr:row>
      <xdr:rowOff>43294</xdr:rowOff>
    </xdr:from>
    <xdr:ext cx="2667846" cy="561885"/>
    <xdr:sp macro="" textlink="">
      <xdr:nvSpPr>
        <xdr:cNvPr id="6" name="TextBox 5"/>
        <xdr:cNvSpPr txBox="1"/>
      </xdr:nvSpPr>
      <xdr:spPr>
        <a:xfrm>
          <a:off x="18546040" y="7368019"/>
          <a:ext cx="2667846" cy="561885"/>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000"/>
            <a:t>Assumes 20 year average</a:t>
          </a:r>
          <a:br>
            <a:rPr lang="en-US" sz="1000"/>
          </a:br>
          <a:r>
            <a:rPr lang="en-US" sz="1000"/>
            <a:t>  heat trappng characterisitcs of Methane (CH</a:t>
          </a:r>
          <a:r>
            <a:rPr lang="en-US" sz="1000" baseline="-25000"/>
            <a:t>4</a:t>
          </a:r>
          <a:r>
            <a:rPr lang="en-US" sz="1000"/>
            <a:t>)</a:t>
          </a:r>
        </a:p>
        <a:p>
          <a:r>
            <a:rPr lang="en-US" sz="1000"/>
            <a:t>1 lb of CH</a:t>
          </a:r>
          <a:r>
            <a:rPr lang="en-US" sz="1000" baseline="-25000"/>
            <a:t>4</a:t>
          </a:r>
          <a:r>
            <a:rPr lang="en-US" sz="1000"/>
            <a:t>  = 86 lbs of CO</a:t>
          </a:r>
          <a:r>
            <a:rPr lang="en-US" sz="1000" baseline="-25000"/>
            <a:t>2</a:t>
          </a: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114300</xdr:rowOff>
    </xdr:from>
    <xdr:to>
      <xdr:col>12</xdr:col>
      <xdr:colOff>457200</xdr:colOff>
      <xdr:row>56</xdr:row>
      <xdr:rowOff>76200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85800"/>
          <a:ext cx="7772400" cy="10058400"/>
        </a:xfrm>
        <a:prstGeom prst="rect">
          <a:avLst/>
        </a:prstGeom>
      </xdr:spPr>
    </xdr:pic>
    <xdr:clientData/>
  </xdr:twoCellAnchor>
  <xdr:twoCellAnchor editAs="oneCell">
    <xdr:from>
      <xdr:col>12</xdr:col>
      <xdr:colOff>590550</xdr:colOff>
      <xdr:row>4</xdr:row>
      <xdr:rowOff>0</xdr:rowOff>
    </xdr:from>
    <xdr:to>
      <xdr:col>25</xdr:col>
      <xdr:colOff>438150</xdr:colOff>
      <xdr:row>56</xdr:row>
      <xdr:rowOff>152400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05750" y="762000"/>
          <a:ext cx="7772400" cy="10058400"/>
        </a:xfrm>
        <a:prstGeom prst="rect">
          <a:avLst/>
        </a:prstGeom>
      </xdr:spPr>
    </xdr:pic>
    <xdr:clientData/>
  </xdr:twoCellAnchor>
  <xdr:twoCellAnchor>
    <xdr:from>
      <xdr:col>4</xdr:col>
      <xdr:colOff>466724</xdr:colOff>
      <xdr:row>65</xdr:row>
      <xdr:rowOff>0</xdr:rowOff>
    </xdr:from>
    <xdr:to>
      <xdr:col>16</xdr:col>
      <xdr:colOff>342899</xdr:colOff>
      <xdr:row>160</xdr:row>
      <xdr:rowOff>114300</xdr:rowOff>
    </xdr:to>
    <xdr:grpSp>
      <xdr:nvGrpSpPr>
        <xdr:cNvPr id="7" name="Group 6"/>
        <xdr:cNvGrpSpPr/>
      </xdr:nvGrpSpPr>
      <xdr:grpSpPr>
        <a:xfrm>
          <a:off x="2905124" y="11902440"/>
          <a:ext cx="7191375" cy="17487900"/>
          <a:chOff x="2905124" y="12382500"/>
          <a:chExt cx="7191375" cy="18211800"/>
        </a:xfrm>
      </xdr:grpSpPr>
      <xdr:pic>
        <xdr:nvPicPr>
          <xdr:cNvPr id="4" name="Picture 3"/>
          <xdr:cNvPicPr>
            <a:picLocks noChangeAspect="1"/>
          </xdr:cNvPicPr>
        </xdr:nvPicPr>
        <xdr:blipFill rotWithShape="1">
          <a:blip xmlns:r="http://schemas.openxmlformats.org/officeDocument/2006/relationships" r:embed="rId3"/>
          <a:srcRect l="19159" t="10527" r="20817" b="1962"/>
          <a:stretch/>
        </xdr:blipFill>
        <xdr:spPr>
          <a:xfrm>
            <a:off x="2905124" y="12382500"/>
            <a:ext cx="7191375" cy="6334125"/>
          </a:xfrm>
          <a:prstGeom prst="rect">
            <a:avLst/>
          </a:prstGeom>
        </xdr:spPr>
      </xdr:pic>
      <xdr:pic>
        <xdr:nvPicPr>
          <xdr:cNvPr id="5" name="Picture 4"/>
          <xdr:cNvPicPr>
            <a:picLocks noChangeAspect="1"/>
          </xdr:cNvPicPr>
        </xdr:nvPicPr>
        <xdr:blipFill rotWithShape="1">
          <a:blip xmlns:r="http://schemas.openxmlformats.org/officeDocument/2006/relationships" r:embed="rId4"/>
          <a:srcRect l="19160" t="10396" r="20976" b="3277"/>
          <a:stretch/>
        </xdr:blipFill>
        <xdr:spPr>
          <a:xfrm>
            <a:off x="2924174" y="18535650"/>
            <a:ext cx="7172325" cy="6248400"/>
          </a:xfrm>
          <a:prstGeom prst="rect">
            <a:avLst/>
          </a:prstGeom>
        </xdr:spPr>
      </xdr:pic>
      <xdr:pic>
        <xdr:nvPicPr>
          <xdr:cNvPr id="6" name="Picture 5"/>
          <xdr:cNvPicPr>
            <a:picLocks noChangeAspect="1"/>
          </xdr:cNvPicPr>
        </xdr:nvPicPr>
        <xdr:blipFill rotWithShape="1">
          <a:blip xmlns:r="http://schemas.openxmlformats.org/officeDocument/2006/relationships" r:embed="rId5"/>
          <a:srcRect l="19239" t="10923" r="20976" b="8409"/>
          <a:stretch/>
        </xdr:blipFill>
        <xdr:spPr>
          <a:xfrm>
            <a:off x="2924175" y="24755475"/>
            <a:ext cx="7162800" cy="5838825"/>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eia.gov/environment/emissions/co2_vol_mass.cf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eia.gov/totalenergy/data/monthly/pdf/sec13_4.pdf"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cdiac.esd.ornl.gov/pns/faq.html" TargetMode="External"/><Relationship Id="rId1" Type="http://schemas.openxmlformats.org/officeDocument/2006/relationships/hyperlink" Target="http://www.littleredbook.com/INDEX.HTML"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72"/>
  <sheetViews>
    <sheetView workbookViewId="0">
      <selection activeCell="A5" sqref="A5"/>
    </sheetView>
  </sheetViews>
  <sheetFormatPr defaultRowHeight="14.4"/>
  <cols>
    <col min="1" max="1" width="39.88671875" customWidth="1"/>
  </cols>
  <sheetData>
    <row r="2" spans="1:9" ht="18">
      <c r="A2" s="5" t="s">
        <v>51</v>
      </c>
      <c r="I2" s="5"/>
    </row>
    <row r="3" spans="1:9">
      <c r="A3" s="19" t="s">
        <v>375</v>
      </c>
      <c r="I3" s="259"/>
    </row>
    <row r="4" spans="1:9">
      <c r="A4" s="19" t="s">
        <v>374</v>
      </c>
      <c r="I4" s="259"/>
    </row>
    <row r="5" spans="1:9">
      <c r="A5" s="19" t="s">
        <v>141</v>
      </c>
      <c r="I5" s="259"/>
    </row>
    <row r="6" spans="1:9">
      <c r="I6" s="259"/>
    </row>
    <row r="7" spans="1:9">
      <c r="A7" s="16" t="s">
        <v>65</v>
      </c>
      <c r="I7" s="259"/>
    </row>
    <row r="8" spans="1:9">
      <c r="A8" s="19" t="s">
        <v>373</v>
      </c>
    </row>
    <row r="9" spans="1:9">
      <c r="A9" s="19" t="s">
        <v>64</v>
      </c>
    </row>
    <row r="10" spans="1:9">
      <c r="A10" s="19" t="s">
        <v>279</v>
      </c>
    </row>
    <row r="11" spans="1:9">
      <c r="A11" s="19" t="s">
        <v>281</v>
      </c>
    </row>
    <row r="12" spans="1:9">
      <c r="A12" s="19" t="s">
        <v>280</v>
      </c>
    </row>
    <row r="13" spans="1:9">
      <c r="A13" s="19" t="s">
        <v>282</v>
      </c>
    </row>
    <row r="16" spans="1:9">
      <c r="A16" s="19"/>
    </row>
    <row r="17" spans="1:1">
      <c r="A17" s="19"/>
    </row>
    <row r="18" spans="1:1">
      <c r="A18" s="19"/>
    </row>
    <row r="27" spans="1:1">
      <c r="A27" s="19"/>
    </row>
    <row r="28" spans="1:1">
      <c r="A28" s="19"/>
    </row>
    <row r="29" spans="1:1">
      <c r="A29" s="19"/>
    </row>
    <row r="30" spans="1:1">
      <c r="A30" s="19"/>
    </row>
    <row r="31" spans="1:1" ht="18">
      <c r="A31" s="257" t="s">
        <v>285</v>
      </c>
    </row>
    <row r="32" spans="1:1">
      <c r="A32" s="19" t="s">
        <v>286</v>
      </c>
    </row>
    <row r="46" spans="1:1" ht="43.2">
      <c r="A46" s="258" t="s">
        <v>287</v>
      </c>
    </row>
    <row r="58" spans="1:2">
      <c r="A58" t="s">
        <v>288</v>
      </c>
      <c r="B58" s="4"/>
    </row>
    <row r="72" spans="1:1">
      <c r="A72" t="s">
        <v>289</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3"/>
  <sheetViews>
    <sheetView tabSelected="1" zoomScaleNormal="100" zoomScalePageLayoutView="110" workbookViewId="0">
      <selection activeCell="J13" sqref="J13"/>
    </sheetView>
  </sheetViews>
  <sheetFormatPr defaultColWidth="12.21875" defaultRowHeight="15.6"/>
  <cols>
    <col min="1" max="1" width="12.21875" style="327"/>
    <col min="2" max="2" width="14.6640625" style="327" customWidth="1"/>
    <col min="3" max="3" width="15.21875" style="327" customWidth="1"/>
    <col min="4" max="4" width="15.5546875" style="432" customWidth="1"/>
    <col min="5" max="5" width="16.44140625" style="327" customWidth="1"/>
    <col min="6" max="6" width="15.88671875" style="327" customWidth="1"/>
    <col min="7" max="7" width="14.6640625" style="327" customWidth="1"/>
    <col min="8" max="8" width="12.77734375" style="327" customWidth="1"/>
    <col min="9" max="9" width="16.33203125" style="327" customWidth="1"/>
    <col min="10" max="10" width="13.88671875" style="327" customWidth="1"/>
    <col min="11" max="11" width="17.21875" style="327" customWidth="1"/>
    <col min="12" max="12" width="14.21875" style="327" customWidth="1"/>
    <col min="13" max="13" width="24.109375" style="327" customWidth="1"/>
    <col min="14" max="15" width="12.21875" style="327"/>
    <col min="16" max="16" width="15.21875" style="327" customWidth="1"/>
    <col min="17" max="16384" width="12.21875" style="327"/>
  </cols>
  <sheetData>
    <row r="1" spans="1:16" ht="28.8" customHeight="1">
      <c r="A1" s="443" t="s">
        <v>333</v>
      </c>
      <c r="B1" s="443"/>
      <c r="C1" s="443"/>
      <c r="D1" s="443"/>
      <c r="E1" s="443"/>
      <c r="F1" s="443"/>
      <c r="G1" s="443"/>
      <c r="H1" s="443"/>
      <c r="I1" s="443"/>
      <c r="J1" s="443"/>
      <c r="K1" s="443"/>
      <c r="L1" s="443"/>
      <c r="M1" s="326" t="s">
        <v>334</v>
      </c>
    </row>
    <row r="2" spans="1:16" s="335" customFormat="1" ht="36" customHeight="1">
      <c r="A2" s="328" t="s">
        <v>335</v>
      </c>
      <c r="B2" s="329"/>
      <c r="C2" s="329"/>
      <c r="D2" s="330"/>
      <c r="E2" s="329"/>
      <c r="F2" s="331"/>
      <c r="G2" s="332">
        <f>D11</f>
        <v>196060</v>
      </c>
      <c r="H2" s="331" t="s">
        <v>336</v>
      </c>
      <c r="I2" s="333"/>
      <c r="J2" s="331"/>
      <c r="K2" s="334"/>
      <c r="L2" s="333"/>
      <c r="M2" s="335">
        <v>0</v>
      </c>
      <c r="N2" s="336" t="s">
        <v>337</v>
      </c>
      <c r="O2" s="337"/>
      <c r="P2" s="337"/>
    </row>
    <row r="3" spans="1:16" ht="18">
      <c r="A3" s="444" t="s">
        <v>338</v>
      </c>
      <c r="B3" s="444"/>
      <c r="C3" s="444"/>
      <c r="D3" s="444"/>
      <c r="E3" s="444"/>
      <c r="F3" s="444"/>
      <c r="G3" s="445" t="s">
        <v>339</v>
      </c>
      <c r="H3" s="445"/>
      <c r="I3" s="445"/>
      <c r="J3" s="445"/>
      <c r="K3" s="445"/>
      <c r="L3" s="445"/>
      <c r="N3" s="338">
        <v>3250</v>
      </c>
      <c r="O3" s="339" t="s">
        <v>302</v>
      </c>
      <c r="P3" s="339"/>
    </row>
    <row r="4" spans="1:16">
      <c r="A4" s="340" t="s">
        <v>340</v>
      </c>
      <c r="B4" s="341"/>
      <c r="C4" s="341"/>
      <c r="D4" s="342">
        <v>12795</v>
      </c>
      <c r="E4" s="343" t="s">
        <v>341</v>
      </c>
      <c r="F4" s="344"/>
      <c r="G4" s="345" t="s">
        <v>342</v>
      </c>
      <c r="H4" s="346"/>
      <c r="I4" s="347">
        <v>137500</v>
      </c>
      <c r="J4" s="348"/>
      <c r="K4" s="349" t="s">
        <v>343</v>
      </c>
      <c r="L4" s="350">
        <f>12*45</f>
        <v>540</v>
      </c>
      <c r="N4" s="351">
        <v>2575</v>
      </c>
      <c r="O4" s="339" t="s">
        <v>300</v>
      </c>
      <c r="P4" s="339"/>
    </row>
    <row r="5" spans="1:16">
      <c r="A5" s="340" t="s">
        <v>344</v>
      </c>
      <c r="B5" s="341"/>
      <c r="C5" s="341"/>
      <c r="D5" s="342">
        <v>3830</v>
      </c>
      <c r="E5" s="343" t="s">
        <v>345</v>
      </c>
      <c r="F5" s="344"/>
      <c r="G5" s="352" t="s">
        <v>346</v>
      </c>
      <c r="H5" s="353"/>
      <c r="I5" s="354">
        <v>293900</v>
      </c>
      <c r="J5" s="348"/>
      <c r="K5" s="355" t="s">
        <v>347</v>
      </c>
      <c r="L5" s="356">
        <v>460</v>
      </c>
    </row>
    <row r="6" spans="1:16">
      <c r="A6" s="340" t="s">
        <v>348</v>
      </c>
      <c r="B6" s="341"/>
      <c r="C6" s="357">
        <v>0.12</v>
      </c>
      <c r="D6" s="358">
        <f>-(D4+D5)*C6</f>
        <v>-1995</v>
      </c>
      <c r="E6" s="343"/>
      <c r="F6" s="344"/>
      <c r="G6" s="349" t="s">
        <v>349</v>
      </c>
      <c r="H6" s="348"/>
      <c r="I6" s="359">
        <f>SUM(I4:I5)</f>
        <v>431400</v>
      </c>
      <c r="J6" s="348"/>
      <c r="K6" s="349" t="s">
        <v>350</v>
      </c>
      <c r="L6" s="360">
        <f>SUM(L4:L5)</f>
        <v>1000</v>
      </c>
    </row>
    <row r="7" spans="1:16">
      <c r="A7" s="340" t="s">
        <v>299</v>
      </c>
      <c r="B7" s="341"/>
      <c r="C7" s="341"/>
      <c r="D7" s="361">
        <f>2900</f>
        <v>2900</v>
      </c>
      <c r="E7" s="362" t="s">
        <v>351</v>
      </c>
      <c r="F7" s="363"/>
      <c r="G7" s="364"/>
      <c r="H7" s="364"/>
      <c r="I7" s="365"/>
      <c r="J7" s="348"/>
      <c r="K7" s="349"/>
      <c r="L7" s="360"/>
    </row>
    <row r="8" spans="1:16">
      <c r="A8" s="340"/>
      <c r="B8" s="341"/>
      <c r="C8" s="366" t="s">
        <v>44</v>
      </c>
      <c r="D8" s="367">
        <f>SUM(D4:D7)</f>
        <v>17530</v>
      </c>
      <c r="E8" s="368"/>
      <c r="F8" s="362"/>
      <c r="G8" s="364" t="s">
        <v>352</v>
      </c>
      <c r="H8" s="364"/>
      <c r="I8" s="369">
        <v>828870</v>
      </c>
      <c r="J8" s="370" t="s">
        <v>353</v>
      </c>
      <c r="K8" s="349"/>
      <c r="L8" s="360"/>
    </row>
    <row r="9" spans="1:16">
      <c r="A9" s="371" t="s">
        <v>354</v>
      </c>
      <c r="B9" s="372"/>
      <c r="C9" s="372"/>
      <c r="D9" s="373"/>
      <c r="E9" s="372"/>
      <c r="F9" s="374"/>
      <c r="G9" s="374"/>
      <c r="H9" s="374"/>
      <c r="I9" s="374"/>
      <c r="J9" s="374"/>
      <c r="K9" s="374"/>
      <c r="L9" s="374"/>
    </row>
    <row r="10" spans="1:16">
      <c r="A10" s="375" t="s">
        <v>355</v>
      </c>
      <c r="B10" s="376"/>
      <c r="C10" s="376"/>
      <c r="D10" s="377">
        <f>I6</f>
        <v>431400</v>
      </c>
      <c r="E10" s="374"/>
      <c r="F10" s="374"/>
      <c r="G10" s="374"/>
      <c r="H10" s="374"/>
      <c r="I10" s="374"/>
      <c r="J10" s="374"/>
      <c r="K10" s="374"/>
      <c r="L10" s="374"/>
      <c r="O10" s="378"/>
    </row>
    <row r="11" spans="1:16">
      <c r="A11" s="379" t="s">
        <v>356</v>
      </c>
      <c r="B11" s="376"/>
      <c r="C11" s="376"/>
      <c r="D11" s="380">
        <f>D10-D12</f>
        <v>196060</v>
      </c>
      <c r="E11" s="381">
        <f>D11/D10</f>
        <v>0.45447380621233197</v>
      </c>
      <c r="F11" s="374"/>
      <c r="G11" s="374"/>
      <c r="H11" s="374"/>
      <c r="I11" s="374"/>
      <c r="J11" s="374"/>
      <c r="K11" s="374"/>
      <c r="L11" s="374"/>
      <c r="O11" s="378"/>
    </row>
    <row r="12" spans="1:16">
      <c r="A12" s="382" t="s">
        <v>357</v>
      </c>
      <c r="B12" s="372"/>
      <c r="C12" s="372"/>
      <c r="D12" s="383">
        <f>-ROUND(PV(G13/12,E13*12,(D8)/12),-1)</f>
        <v>235340</v>
      </c>
      <c r="E12" s="381">
        <f>D12/D10</f>
        <v>0.54552619378766809</v>
      </c>
      <c r="F12" s="374"/>
      <c r="G12" s="374"/>
      <c r="H12" s="374"/>
      <c r="I12" s="374"/>
      <c r="J12" s="374"/>
      <c r="K12" s="374"/>
      <c r="L12" s="376"/>
    </row>
    <row r="13" spans="1:16">
      <c r="A13" s="382"/>
      <c r="B13" s="384" t="s">
        <v>50</v>
      </c>
      <c r="C13" s="372"/>
      <c r="D13" s="385">
        <f>(D14-D12)</f>
        <v>27614</v>
      </c>
      <c r="E13" s="386">
        <v>15</v>
      </c>
      <c r="F13" s="382" t="s">
        <v>358</v>
      </c>
      <c r="G13" s="387">
        <v>1.4999999999999999E-2</v>
      </c>
      <c r="H13" s="379" t="s">
        <v>143</v>
      </c>
      <c r="I13" s="379"/>
      <c r="J13" s="388"/>
      <c r="K13" s="389"/>
      <c r="L13" s="376"/>
    </row>
    <row r="14" spans="1:16">
      <c r="A14" s="382"/>
      <c r="B14" s="382" t="s">
        <v>359</v>
      </c>
      <c r="C14" s="372"/>
      <c r="D14" s="377">
        <f>ROUND(-PMT($G$13/12,$E$13*12,($D$12),0,0)*12*E13,M2)</f>
        <v>262954</v>
      </c>
      <c r="E14" s="381"/>
      <c r="F14" s="381"/>
      <c r="G14" s="381"/>
      <c r="H14" s="381"/>
      <c r="I14" s="379"/>
      <c r="J14" s="388"/>
      <c r="K14" s="389"/>
      <c r="L14" s="376"/>
    </row>
    <row r="15" spans="1:16">
      <c r="A15" s="382" t="s">
        <v>360</v>
      </c>
      <c r="B15" s="372"/>
      <c r="C15" s="372"/>
      <c r="D15" s="390">
        <f>-PMT($G$13/12,$E$13*12,($D$12),0,0)*12</f>
        <v>17530.279490439771</v>
      </c>
      <c r="E15" s="381"/>
      <c r="F15" s="381"/>
      <c r="G15" s="381"/>
      <c r="H15" s="381"/>
      <c r="I15" s="379"/>
      <c r="J15" s="388"/>
      <c r="K15" s="389"/>
      <c r="L15" s="376"/>
      <c r="O15" s="391">
        <v>3</v>
      </c>
      <c r="P15" s="391">
        <v>188866</v>
      </c>
    </row>
    <row r="16" spans="1:16">
      <c r="A16" s="382"/>
      <c r="B16" s="372"/>
      <c r="C16" s="372"/>
      <c r="D16" s="390"/>
      <c r="E16" s="381"/>
      <c r="F16" s="381"/>
      <c r="G16" s="381"/>
      <c r="H16" s="381"/>
      <c r="I16" s="379"/>
      <c r="J16" s="388"/>
      <c r="K16" s="389"/>
      <c r="L16" s="376"/>
      <c r="O16" s="391">
        <v>4</v>
      </c>
      <c r="P16" s="391">
        <v>247288</v>
      </c>
    </row>
    <row r="17" spans="1:25">
      <c r="A17" s="379" t="s">
        <v>361</v>
      </c>
      <c r="B17" s="376"/>
      <c r="C17" s="376"/>
      <c r="D17" s="377">
        <f>ROUND(G41,M2)</f>
        <v>290651</v>
      </c>
      <c r="E17" s="392"/>
      <c r="F17" s="382"/>
      <c r="G17" s="393"/>
      <c r="H17" s="393"/>
      <c r="I17" s="394"/>
      <c r="J17" s="376"/>
      <c r="K17" s="395"/>
      <c r="L17" s="395"/>
      <c r="O17" s="391">
        <v>5</v>
      </c>
      <c r="P17" s="391">
        <v>314243</v>
      </c>
    </row>
    <row r="18" spans="1:25">
      <c r="A18" s="379" t="s">
        <v>362</v>
      </c>
      <c r="B18" s="376"/>
      <c r="C18" s="376"/>
      <c r="D18" s="377">
        <f>ROUND(C41,M2)</f>
        <v>485192</v>
      </c>
      <c r="E18" s="396">
        <v>0.03</v>
      </c>
      <c r="F18" s="397" t="s">
        <v>363</v>
      </c>
      <c r="G18" s="393"/>
      <c r="H18" s="393"/>
      <c r="I18" s="398"/>
      <c r="J18" s="393"/>
      <c r="K18" s="384"/>
      <c r="L18" s="376"/>
    </row>
    <row r="19" spans="1:25">
      <c r="A19" s="379" t="s">
        <v>364</v>
      </c>
      <c r="B19" s="376"/>
      <c r="C19" s="376"/>
      <c r="D19" s="399">
        <f>D18-D17</f>
        <v>194541</v>
      </c>
      <c r="E19" s="392"/>
      <c r="F19" s="382"/>
      <c r="G19" s="393"/>
      <c r="H19" s="393"/>
      <c r="I19" s="393"/>
      <c r="J19" s="393"/>
      <c r="K19" s="384"/>
      <c r="L19" s="376"/>
    </row>
    <row r="20" spans="1:25" ht="98.4" customHeight="1">
      <c r="A20" s="400"/>
      <c r="B20" s="401" t="s">
        <v>163</v>
      </c>
      <c r="C20" s="402" t="s">
        <v>365</v>
      </c>
      <c r="D20" s="403" t="s">
        <v>296</v>
      </c>
      <c r="E20" s="404" t="s">
        <v>295</v>
      </c>
      <c r="F20" s="404" t="s">
        <v>301</v>
      </c>
      <c r="G20" s="405" t="s">
        <v>366</v>
      </c>
      <c r="H20" s="404" t="s">
        <v>298</v>
      </c>
      <c r="I20" s="406" t="s">
        <v>367</v>
      </c>
      <c r="J20" s="404" t="s">
        <v>368</v>
      </c>
      <c r="K20" s="407" t="s">
        <v>369</v>
      </c>
      <c r="L20" s="408"/>
      <c r="Y20" s="409"/>
    </row>
    <row r="21" spans="1:25">
      <c r="A21" s="410">
        <v>1</v>
      </c>
      <c r="B21" s="395">
        <v>2017</v>
      </c>
      <c r="C21" s="411">
        <f>ROUND(D8*(1+$E$18),M2)</f>
        <v>18056</v>
      </c>
      <c r="D21" s="412">
        <f>ROUND((L6)*(1+E18),M2)</f>
        <v>1030</v>
      </c>
      <c r="E21" s="413">
        <f>IF((A21&lt;=$E$13),$D$15,0)</f>
        <v>17530.279490439771</v>
      </c>
      <c r="F21" s="413">
        <f>E21</f>
        <v>17530.279490439771</v>
      </c>
      <c r="G21" s="414">
        <f>E21+D21</f>
        <v>18560.279490439771</v>
      </c>
      <c r="H21" s="413">
        <f>G21</f>
        <v>18560.279490439771</v>
      </c>
      <c r="I21" s="415">
        <f t="shared" ref="I21:I40" si="0">C21-G21</f>
        <v>-504.2794904397706</v>
      </c>
      <c r="J21" s="413">
        <f>I21</f>
        <v>-504.2794904397706</v>
      </c>
      <c r="K21" s="416">
        <f>G21/I8</f>
        <v>2.239226837796008E-2</v>
      </c>
      <c r="L21" s="393"/>
    </row>
    <row r="22" spans="1:25">
      <c r="A22" s="395">
        <v>2</v>
      </c>
      <c r="B22" s="395">
        <v>2018</v>
      </c>
      <c r="C22" s="411">
        <f>ROUND(C21*(1 +$E$18),$M$2)</f>
        <v>18598</v>
      </c>
      <c r="D22" s="412">
        <f>ROUND(D21*(1 +$E$18),$M$2)</f>
        <v>1061</v>
      </c>
      <c r="E22" s="413">
        <f t="shared" ref="E22:E40" si="1">IF((A22&lt;=$E$13),$D$15,0)</f>
        <v>17530.279490439771</v>
      </c>
      <c r="F22" s="417">
        <f t="shared" ref="F22:F40" si="2">F21+E22</f>
        <v>35060.558980879541</v>
      </c>
      <c r="G22" s="414">
        <f t="shared" ref="G22:G40" si="3">E22+D22</f>
        <v>18591.279490439771</v>
      </c>
      <c r="H22" s="413">
        <f>H21+G22</f>
        <v>37151.558980879541</v>
      </c>
      <c r="I22" s="418">
        <f t="shared" si="0"/>
        <v>6.7205095602294023</v>
      </c>
      <c r="J22" s="413">
        <f>J21+I22</f>
        <v>-497.5589808795412</v>
      </c>
      <c r="K22" s="416">
        <f>G22/($I$8*(1+$E$18)^A21)</f>
        <v>2.1776377372867063E-2</v>
      </c>
      <c r="L22" s="393"/>
    </row>
    <row r="23" spans="1:25">
      <c r="A23" s="395">
        <v>3</v>
      </c>
      <c r="B23" s="395">
        <v>2019</v>
      </c>
      <c r="C23" s="411">
        <f t="shared" ref="C23:D38" si="4">ROUND(C22*(1 +$E$18),$M$2)</f>
        <v>19156</v>
      </c>
      <c r="D23" s="412">
        <f t="shared" si="4"/>
        <v>1093</v>
      </c>
      <c r="E23" s="413">
        <f t="shared" si="1"/>
        <v>17530.279490439771</v>
      </c>
      <c r="F23" s="417">
        <f t="shared" si="2"/>
        <v>52590.838471319308</v>
      </c>
      <c r="G23" s="414">
        <f t="shared" si="3"/>
        <v>18623.279490439771</v>
      </c>
      <c r="H23" s="413">
        <f t="shared" ref="H23:H40" si="5">H22+G23</f>
        <v>55774.838471319308</v>
      </c>
      <c r="I23" s="418">
        <f t="shared" si="0"/>
        <v>532.7205095602294</v>
      </c>
      <c r="J23" s="413">
        <f t="shared" ref="J23:J40" si="6">J22+I23</f>
        <v>35.161528680688207</v>
      </c>
      <c r="K23" s="416">
        <f t="shared" ref="K23:K40" si="7">G23/($I$8*(1+$E$18)^A22)</f>
        <v>2.1178504545155546E-2</v>
      </c>
      <c r="L23" s="393"/>
    </row>
    <row r="24" spans="1:25">
      <c r="A24" s="395">
        <v>4</v>
      </c>
      <c r="B24" s="395">
        <v>2020</v>
      </c>
      <c r="C24" s="411">
        <f t="shared" si="4"/>
        <v>19731</v>
      </c>
      <c r="D24" s="412">
        <f t="shared" si="4"/>
        <v>1126</v>
      </c>
      <c r="E24" s="413">
        <f t="shared" si="1"/>
        <v>17530.279490439771</v>
      </c>
      <c r="F24" s="417">
        <f t="shared" si="2"/>
        <v>70121.117961759082</v>
      </c>
      <c r="G24" s="414">
        <f t="shared" si="3"/>
        <v>18656.279490439771</v>
      </c>
      <c r="H24" s="413">
        <f t="shared" si="5"/>
        <v>74431.117961759082</v>
      </c>
      <c r="I24" s="418">
        <f t="shared" si="0"/>
        <v>1074.7205095602294</v>
      </c>
      <c r="J24" s="413">
        <f t="shared" si="6"/>
        <v>1109.8820382409176</v>
      </c>
      <c r="K24" s="416">
        <f t="shared" si="7"/>
        <v>2.0598089652463437E-2</v>
      </c>
      <c r="L24" s="393"/>
    </row>
    <row r="25" spans="1:25">
      <c r="A25" s="395">
        <v>5</v>
      </c>
      <c r="B25" s="395">
        <v>2021</v>
      </c>
      <c r="C25" s="411">
        <f t="shared" si="4"/>
        <v>20323</v>
      </c>
      <c r="D25" s="412">
        <f t="shared" si="4"/>
        <v>1160</v>
      </c>
      <c r="E25" s="413">
        <f t="shared" si="1"/>
        <v>17530.279490439771</v>
      </c>
      <c r="F25" s="417">
        <f t="shared" si="2"/>
        <v>87651.397452198857</v>
      </c>
      <c r="G25" s="414">
        <f t="shared" si="3"/>
        <v>18690.279490439771</v>
      </c>
      <c r="H25" s="413">
        <f t="shared" si="5"/>
        <v>93121.397452198857</v>
      </c>
      <c r="I25" s="418">
        <f t="shared" si="0"/>
        <v>1632.7205095602294</v>
      </c>
      <c r="J25" s="413">
        <f t="shared" si="6"/>
        <v>2742.602547801147</v>
      </c>
      <c r="K25" s="416">
        <f t="shared" si="7"/>
        <v>2.0034590767164909E-2</v>
      </c>
      <c r="L25" s="393"/>
    </row>
    <row r="26" spans="1:25">
      <c r="A26" s="395">
        <v>6</v>
      </c>
      <c r="B26" s="395">
        <v>2022</v>
      </c>
      <c r="C26" s="411">
        <f t="shared" si="4"/>
        <v>20933</v>
      </c>
      <c r="D26" s="412">
        <f t="shared" si="4"/>
        <v>1195</v>
      </c>
      <c r="E26" s="413">
        <f t="shared" si="1"/>
        <v>17530.279490439771</v>
      </c>
      <c r="F26" s="417">
        <f t="shared" si="2"/>
        <v>105181.67694263863</v>
      </c>
      <c r="G26" s="414">
        <f t="shared" si="3"/>
        <v>18725.279490439771</v>
      </c>
      <c r="H26" s="413">
        <f t="shared" si="5"/>
        <v>111846.67694263863</v>
      </c>
      <c r="I26" s="418">
        <f t="shared" si="0"/>
        <v>2207.7205095602294</v>
      </c>
      <c r="J26" s="413">
        <f t="shared" si="6"/>
        <v>4950.3230573613764</v>
      </c>
      <c r="K26" s="416">
        <f t="shared" si="7"/>
        <v>1.9487483656667474E-2</v>
      </c>
      <c r="L26" s="393"/>
    </row>
    <row r="27" spans="1:25">
      <c r="A27" s="395">
        <v>7</v>
      </c>
      <c r="B27" s="395">
        <v>2023</v>
      </c>
      <c r="C27" s="411">
        <f t="shared" si="4"/>
        <v>21561</v>
      </c>
      <c r="D27" s="412">
        <f t="shared" si="4"/>
        <v>1231</v>
      </c>
      <c r="E27" s="413">
        <f t="shared" si="1"/>
        <v>17530.279490439771</v>
      </c>
      <c r="F27" s="417">
        <f t="shared" si="2"/>
        <v>122711.95643307841</v>
      </c>
      <c r="G27" s="414">
        <f t="shared" si="3"/>
        <v>18761.279490439771</v>
      </c>
      <c r="H27" s="413">
        <f t="shared" si="5"/>
        <v>130607.95643307841</v>
      </c>
      <c r="I27" s="418">
        <f t="shared" si="0"/>
        <v>2799.7205095602294</v>
      </c>
      <c r="J27" s="413">
        <f t="shared" si="6"/>
        <v>7750.0435669216058</v>
      </c>
      <c r="K27" s="416">
        <f t="shared" si="7"/>
        <v>1.895626118508963E-2</v>
      </c>
      <c r="L27" s="393"/>
    </row>
    <row r="28" spans="1:25">
      <c r="A28" s="395">
        <v>8</v>
      </c>
      <c r="B28" s="395">
        <v>2024</v>
      </c>
      <c r="C28" s="411">
        <f t="shared" si="4"/>
        <v>22208</v>
      </c>
      <c r="D28" s="412">
        <f t="shared" si="4"/>
        <v>1268</v>
      </c>
      <c r="E28" s="413">
        <f t="shared" si="1"/>
        <v>17530.279490439771</v>
      </c>
      <c r="F28" s="417">
        <f t="shared" si="2"/>
        <v>140242.23592351816</v>
      </c>
      <c r="G28" s="414">
        <f t="shared" si="3"/>
        <v>18798.279490439771</v>
      </c>
      <c r="H28" s="413">
        <f t="shared" si="5"/>
        <v>149406.23592351816</v>
      </c>
      <c r="I28" s="418">
        <f t="shared" si="0"/>
        <v>3409.7205095602294</v>
      </c>
      <c r="J28" s="413">
        <f t="shared" si="6"/>
        <v>11159.764076481835</v>
      </c>
      <c r="K28" s="416">
        <f t="shared" si="7"/>
        <v>1.8440432735575475E-2</v>
      </c>
      <c r="L28" s="393"/>
    </row>
    <row r="29" spans="1:25">
      <c r="A29" s="395">
        <v>9</v>
      </c>
      <c r="B29" s="395">
        <v>2025</v>
      </c>
      <c r="C29" s="411">
        <f t="shared" si="4"/>
        <v>22874</v>
      </c>
      <c r="D29" s="412">
        <f t="shared" si="4"/>
        <v>1306</v>
      </c>
      <c r="E29" s="413">
        <f t="shared" si="1"/>
        <v>17530.279490439771</v>
      </c>
      <c r="F29" s="417">
        <f t="shared" si="2"/>
        <v>157772.51541395794</v>
      </c>
      <c r="G29" s="414">
        <f t="shared" si="3"/>
        <v>18836.279490439771</v>
      </c>
      <c r="H29" s="413">
        <f t="shared" si="5"/>
        <v>168242.51541395794</v>
      </c>
      <c r="I29" s="418">
        <f t="shared" si="0"/>
        <v>4037.7205095602294</v>
      </c>
      <c r="J29" s="413">
        <f t="shared" si="6"/>
        <v>15197.484586042065</v>
      </c>
      <c r="K29" s="416">
        <f t="shared" si="7"/>
        <v>1.7939523652528565E-2</v>
      </c>
      <c r="L29" s="393"/>
    </row>
    <row r="30" spans="1:25">
      <c r="A30" s="395">
        <v>10</v>
      </c>
      <c r="B30" s="395">
        <v>2026</v>
      </c>
      <c r="C30" s="411">
        <f t="shared" si="4"/>
        <v>23560</v>
      </c>
      <c r="D30" s="412">
        <f t="shared" si="4"/>
        <v>1345</v>
      </c>
      <c r="E30" s="413">
        <f t="shared" si="1"/>
        <v>17530.279490439771</v>
      </c>
      <c r="F30" s="417">
        <f t="shared" si="2"/>
        <v>175302.79490439771</v>
      </c>
      <c r="G30" s="414">
        <f t="shared" si="3"/>
        <v>18875.279490439771</v>
      </c>
      <c r="H30" s="413">
        <f t="shared" si="5"/>
        <v>187117.79490439771</v>
      </c>
      <c r="I30" s="418">
        <f t="shared" si="0"/>
        <v>4684.7205095602294</v>
      </c>
      <c r="J30" s="413">
        <f t="shared" si="6"/>
        <v>19882.205095602294</v>
      </c>
      <c r="K30" s="416">
        <f t="shared" si="7"/>
        <v>1.7453074703072287E-2</v>
      </c>
      <c r="L30" s="393"/>
    </row>
    <row r="31" spans="1:25">
      <c r="A31" s="395">
        <v>11</v>
      </c>
      <c r="B31" s="395">
        <v>2027</v>
      </c>
      <c r="C31" s="411">
        <f t="shared" si="4"/>
        <v>24267</v>
      </c>
      <c r="D31" s="412">
        <f t="shared" si="4"/>
        <v>1385</v>
      </c>
      <c r="E31" s="413">
        <f t="shared" si="1"/>
        <v>17530.279490439771</v>
      </c>
      <c r="F31" s="417">
        <f t="shared" si="2"/>
        <v>192833.07439483749</v>
      </c>
      <c r="G31" s="414">
        <f t="shared" si="3"/>
        <v>18915.279490439771</v>
      </c>
      <c r="H31" s="413">
        <f t="shared" si="5"/>
        <v>206033.07439483749</v>
      </c>
      <c r="I31" s="418">
        <f t="shared" si="0"/>
        <v>5351.7205095602294</v>
      </c>
      <c r="J31" s="413">
        <f t="shared" si="6"/>
        <v>25233.925605162523</v>
      </c>
      <c r="K31" s="416">
        <f t="shared" si="7"/>
        <v>1.6980641557068132E-2</v>
      </c>
      <c r="L31" s="393"/>
    </row>
    <row r="32" spans="1:25">
      <c r="A32" s="395">
        <v>12</v>
      </c>
      <c r="B32" s="395">
        <v>2028</v>
      </c>
      <c r="C32" s="411">
        <f t="shared" si="4"/>
        <v>24995</v>
      </c>
      <c r="D32" s="412">
        <f t="shared" si="4"/>
        <v>1427</v>
      </c>
      <c r="E32" s="413">
        <f t="shared" si="1"/>
        <v>17530.279490439771</v>
      </c>
      <c r="F32" s="417">
        <f t="shared" si="2"/>
        <v>210363.35388527726</v>
      </c>
      <c r="G32" s="414">
        <f t="shared" si="3"/>
        <v>18957.279490439771</v>
      </c>
      <c r="H32" s="413">
        <f t="shared" si="5"/>
        <v>224990.35388527726</v>
      </c>
      <c r="I32" s="418">
        <f t="shared" si="0"/>
        <v>6037.7205095602294</v>
      </c>
      <c r="J32" s="413">
        <f t="shared" si="6"/>
        <v>31271.646114722753</v>
      </c>
      <c r="K32" s="416">
        <f t="shared" si="7"/>
        <v>1.6522665858726981E-2</v>
      </c>
      <c r="L32" s="393"/>
    </row>
    <row r="33" spans="1:14">
      <c r="A33" s="395">
        <v>13</v>
      </c>
      <c r="B33" s="395">
        <v>2029</v>
      </c>
      <c r="C33" s="411">
        <f t="shared" si="4"/>
        <v>25745</v>
      </c>
      <c r="D33" s="412">
        <f t="shared" si="4"/>
        <v>1470</v>
      </c>
      <c r="E33" s="413">
        <f t="shared" si="1"/>
        <v>17530.279490439771</v>
      </c>
      <c r="F33" s="417">
        <f t="shared" si="2"/>
        <v>227893.63337571704</v>
      </c>
      <c r="G33" s="414">
        <f t="shared" si="3"/>
        <v>19000.279490439771</v>
      </c>
      <c r="H33" s="413">
        <f t="shared" si="5"/>
        <v>243990.63337571704</v>
      </c>
      <c r="I33" s="418">
        <f t="shared" si="0"/>
        <v>6744.7205095602294</v>
      </c>
      <c r="J33" s="413">
        <f t="shared" si="6"/>
        <v>38016.366624282979</v>
      </c>
      <c r="K33" s="416">
        <f t="shared" si="7"/>
        <v>1.6077809249505533E-2</v>
      </c>
      <c r="L33" s="393"/>
    </row>
    <row r="34" spans="1:14">
      <c r="A34" s="395">
        <v>14</v>
      </c>
      <c r="B34" s="395">
        <v>2030</v>
      </c>
      <c r="C34" s="411">
        <f t="shared" si="4"/>
        <v>26517</v>
      </c>
      <c r="D34" s="412">
        <f t="shared" si="4"/>
        <v>1514</v>
      </c>
      <c r="E34" s="413">
        <f t="shared" si="1"/>
        <v>17530.279490439771</v>
      </c>
      <c r="F34" s="417">
        <f t="shared" si="2"/>
        <v>245423.91286615681</v>
      </c>
      <c r="G34" s="414">
        <f t="shared" si="3"/>
        <v>19044.279490439771</v>
      </c>
      <c r="H34" s="413">
        <f t="shared" si="5"/>
        <v>263034.91286615678</v>
      </c>
      <c r="I34" s="418">
        <f t="shared" si="0"/>
        <v>7472.7205095602294</v>
      </c>
      <c r="J34" s="413">
        <f t="shared" si="6"/>
        <v>45489.087133843204</v>
      </c>
      <c r="K34" s="416">
        <f t="shared" si="7"/>
        <v>1.5645671381784305E-2</v>
      </c>
      <c r="L34" s="393"/>
    </row>
    <row r="35" spans="1:14">
      <c r="A35" s="395">
        <v>15</v>
      </c>
      <c r="B35" s="395">
        <v>2031</v>
      </c>
      <c r="C35" s="411">
        <f t="shared" si="4"/>
        <v>27313</v>
      </c>
      <c r="D35" s="412">
        <f t="shared" si="4"/>
        <v>1559</v>
      </c>
      <c r="E35" s="413">
        <f t="shared" si="1"/>
        <v>17530.279490439771</v>
      </c>
      <c r="F35" s="417">
        <f t="shared" si="2"/>
        <v>262954.19235659658</v>
      </c>
      <c r="G35" s="414">
        <f t="shared" si="3"/>
        <v>19089.279490439771</v>
      </c>
      <c r="H35" s="413">
        <f t="shared" si="5"/>
        <v>282124.19235659653</v>
      </c>
      <c r="I35" s="418">
        <f t="shared" si="0"/>
        <v>8223.7205095602294</v>
      </c>
      <c r="J35" s="413">
        <f t="shared" si="6"/>
        <v>53712.80764340343</v>
      </c>
      <c r="K35" s="416">
        <f t="shared" si="7"/>
        <v>1.5225864817616647E-2</v>
      </c>
      <c r="L35" s="393"/>
      <c r="N35" s="419">
        <f>J35/15</f>
        <v>3580.8538428935622</v>
      </c>
    </row>
    <row r="36" spans="1:14">
      <c r="A36" s="395">
        <v>16</v>
      </c>
      <c r="B36" s="395">
        <v>2032</v>
      </c>
      <c r="C36" s="411">
        <f t="shared" si="4"/>
        <v>28132</v>
      </c>
      <c r="D36" s="412">
        <f t="shared" si="4"/>
        <v>1606</v>
      </c>
      <c r="E36" s="413">
        <f t="shared" si="1"/>
        <v>0</v>
      </c>
      <c r="F36" s="417">
        <f t="shared" si="2"/>
        <v>262954.19235659658</v>
      </c>
      <c r="G36" s="414">
        <f t="shared" si="3"/>
        <v>1606</v>
      </c>
      <c r="H36" s="413">
        <f t="shared" si="5"/>
        <v>283730.19235659653</v>
      </c>
      <c r="I36" s="418">
        <f t="shared" si="0"/>
        <v>26526</v>
      </c>
      <c r="J36" s="413">
        <f t="shared" si="6"/>
        <v>80238.80764340343</v>
      </c>
      <c r="K36" s="416">
        <f t="shared" si="7"/>
        <v>1.2436573739176573E-3</v>
      </c>
      <c r="L36" s="393"/>
    </row>
    <row r="37" spans="1:14">
      <c r="A37" s="395">
        <v>17</v>
      </c>
      <c r="B37" s="395">
        <v>2033</v>
      </c>
      <c r="C37" s="411">
        <f t="shared" si="4"/>
        <v>28976</v>
      </c>
      <c r="D37" s="412">
        <f t="shared" si="4"/>
        <v>1654</v>
      </c>
      <c r="E37" s="413">
        <f t="shared" si="1"/>
        <v>0</v>
      </c>
      <c r="F37" s="417">
        <f t="shared" si="2"/>
        <v>262954.19235659658</v>
      </c>
      <c r="G37" s="414">
        <f t="shared" si="3"/>
        <v>1654</v>
      </c>
      <c r="H37" s="413">
        <f t="shared" si="5"/>
        <v>285384.19235659653</v>
      </c>
      <c r="I37" s="418">
        <f t="shared" si="0"/>
        <v>27322</v>
      </c>
      <c r="J37" s="413">
        <f t="shared" si="6"/>
        <v>107560.80764340343</v>
      </c>
      <c r="K37" s="416">
        <f t="shared" si="7"/>
        <v>1.2435220450373028E-3</v>
      </c>
      <c r="L37" s="393"/>
    </row>
    <row r="38" spans="1:14">
      <c r="A38" s="395">
        <v>18</v>
      </c>
      <c r="B38" s="395">
        <v>2034</v>
      </c>
      <c r="C38" s="411">
        <f t="shared" si="4"/>
        <v>29845</v>
      </c>
      <c r="D38" s="412">
        <f t="shared" si="4"/>
        <v>1704</v>
      </c>
      <c r="E38" s="413">
        <f t="shared" si="1"/>
        <v>0</v>
      </c>
      <c r="F38" s="417">
        <f t="shared" si="2"/>
        <v>262954.19235659658</v>
      </c>
      <c r="G38" s="414">
        <f t="shared" si="3"/>
        <v>1704</v>
      </c>
      <c r="H38" s="413">
        <f t="shared" si="5"/>
        <v>287088.19235659653</v>
      </c>
      <c r="I38" s="418">
        <f t="shared" si="0"/>
        <v>28141</v>
      </c>
      <c r="J38" s="413">
        <f t="shared" si="6"/>
        <v>135701.80764340342</v>
      </c>
      <c r="K38" s="416">
        <f t="shared" si="7"/>
        <v>1.2437994181469835E-3</v>
      </c>
      <c r="L38" s="393"/>
    </row>
    <row r="39" spans="1:14">
      <c r="A39" s="395">
        <v>19</v>
      </c>
      <c r="B39" s="395">
        <v>2035</v>
      </c>
      <c r="C39" s="411">
        <f t="shared" ref="C39:D40" si="8">ROUND(C38*(1 +$E$18),$M$2)</f>
        <v>30740</v>
      </c>
      <c r="D39" s="412">
        <f t="shared" si="8"/>
        <v>1755</v>
      </c>
      <c r="E39" s="413">
        <f t="shared" si="1"/>
        <v>0</v>
      </c>
      <c r="F39" s="417">
        <f t="shared" si="2"/>
        <v>262954.19235659658</v>
      </c>
      <c r="G39" s="414">
        <f t="shared" si="3"/>
        <v>1755</v>
      </c>
      <c r="H39" s="413">
        <f t="shared" si="5"/>
        <v>288843.19235659653</v>
      </c>
      <c r="I39" s="418">
        <f t="shared" si="0"/>
        <v>28985</v>
      </c>
      <c r="J39" s="413">
        <f t="shared" si="6"/>
        <v>164686.80764340342</v>
      </c>
      <c r="K39" s="416">
        <f t="shared" si="7"/>
        <v>1.2437143778476433E-3</v>
      </c>
      <c r="L39" s="393"/>
    </row>
    <row r="40" spans="1:14">
      <c r="A40" s="395">
        <v>20</v>
      </c>
      <c r="B40" s="395">
        <v>2036</v>
      </c>
      <c r="C40" s="411">
        <f t="shared" si="8"/>
        <v>31662</v>
      </c>
      <c r="D40" s="412">
        <f t="shared" si="8"/>
        <v>1808</v>
      </c>
      <c r="E40" s="413">
        <f t="shared" si="1"/>
        <v>0</v>
      </c>
      <c r="F40" s="417">
        <f t="shared" si="2"/>
        <v>262954.19235659658</v>
      </c>
      <c r="G40" s="420">
        <f t="shared" si="3"/>
        <v>1808</v>
      </c>
      <c r="H40" s="413">
        <f t="shared" si="5"/>
        <v>290651.19235659653</v>
      </c>
      <c r="I40" s="421">
        <f t="shared" si="0"/>
        <v>29854</v>
      </c>
      <c r="J40" s="413">
        <f t="shared" si="6"/>
        <v>194540.80764340342</v>
      </c>
      <c r="K40" s="416">
        <f t="shared" si="7"/>
        <v>1.2439551877567777E-3</v>
      </c>
      <c r="L40" s="393"/>
    </row>
    <row r="41" spans="1:14">
      <c r="A41" s="400"/>
      <c r="B41" s="400"/>
      <c r="C41" s="422">
        <f>SUM(C21:C40)</f>
        <v>485192</v>
      </c>
      <c r="D41" s="423">
        <f>SUM(D21:D40)</f>
        <v>27697</v>
      </c>
      <c r="E41" s="424">
        <f>SUM(E21:E40)</f>
        <v>262954.19235659658</v>
      </c>
      <c r="F41" s="424"/>
      <c r="G41" s="424">
        <f>SUM(G21:G40)</f>
        <v>290651.19235659653</v>
      </c>
      <c r="H41" s="424"/>
      <c r="I41" s="425">
        <f>SUM(I21:I40)</f>
        <v>194540.80764340342</v>
      </c>
      <c r="J41" s="400"/>
      <c r="K41" s="408"/>
      <c r="L41" s="408"/>
    </row>
    <row r="42" spans="1:14" ht="46.8" customHeight="1">
      <c r="A42" s="400"/>
      <c r="B42" s="400"/>
      <c r="C42" s="426" t="s">
        <v>370</v>
      </c>
      <c r="D42" s="427"/>
      <c r="E42" s="426" t="s">
        <v>297</v>
      </c>
      <c r="F42" s="428"/>
      <c r="G42" s="429" t="s">
        <v>371</v>
      </c>
      <c r="H42" s="430"/>
      <c r="I42" s="431" t="s">
        <v>372</v>
      </c>
      <c r="J42" s="400"/>
      <c r="K42" s="408"/>
      <c r="L42" s="408"/>
    </row>
    <row r="43" spans="1:14">
      <c r="E43" s="433"/>
      <c r="F43" s="433"/>
      <c r="G43" s="433"/>
      <c r="H43" s="433"/>
    </row>
  </sheetData>
  <mergeCells count="3">
    <mergeCell ref="A1:L1"/>
    <mergeCell ref="A3:F3"/>
    <mergeCell ref="G3:L3"/>
  </mergeCells>
  <pageMargins left="0.75" right="0.75" top="0.5" bottom="0.5" header="0.5" footer="0.5"/>
  <pageSetup scale="66"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174"/>
  <sheetViews>
    <sheetView topLeftCell="A22" zoomScale="83" zoomScaleNormal="83" workbookViewId="0">
      <selection activeCell="A137" sqref="A137"/>
    </sheetView>
  </sheetViews>
  <sheetFormatPr defaultRowHeight="14.4"/>
  <cols>
    <col min="1" max="1" width="49.33203125" customWidth="1"/>
    <col min="2" max="2" width="29" style="138" customWidth="1"/>
    <col min="3" max="3" width="13.44140625" style="66" customWidth="1"/>
    <col min="4" max="4" width="27.88671875" style="66" customWidth="1"/>
    <col min="5" max="5" width="58.33203125" style="66" customWidth="1"/>
    <col min="8" max="8" width="15.109375" customWidth="1"/>
    <col min="9" max="9" width="11.6640625" customWidth="1"/>
  </cols>
  <sheetData>
    <row r="1" spans="1:8" ht="38.25" customHeight="1">
      <c r="A1" s="452" t="s">
        <v>319</v>
      </c>
      <c r="B1" s="452"/>
      <c r="C1" s="452"/>
      <c r="D1" s="452"/>
      <c r="E1" s="452"/>
    </row>
    <row r="2" spans="1:8" ht="38.25" customHeight="1">
      <c r="A2" s="313" t="s">
        <v>328</v>
      </c>
      <c r="B2" s="312"/>
      <c r="C2" s="312"/>
      <c r="D2" s="314" t="s">
        <v>330</v>
      </c>
      <c r="E2" s="312"/>
    </row>
    <row r="3" spans="1:8" ht="38.25" customHeight="1">
      <c r="A3" s="313"/>
      <c r="B3" s="312"/>
      <c r="C3" s="312"/>
      <c r="D3" s="315" t="s">
        <v>329</v>
      </c>
      <c r="E3" s="312"/>
    </row>
    <row r="4" spans="1:8" s="34" customFormat="1" ht="127.8" customHeight="1">
      <c r="A4" s="453" t="s">
        <v>273</v>
      </c>
      <c r="B4" s="454"/>
      <c r="C4" s="454"/>
      <c r="D4" s="454"/>
      <c r="E4" s="454"/>
    </row>
    <row r="5" spans="1:8" ht="246" customHeight="1">
      <c r="A5" s="455" t="s">
        <v>257</v>
      </c>
      <c r="B5" s="455"/>
      <c r="C5" s="455"/>
      <c r="D5" s="455"/>
      <c r="E5" s="455"/>
    </row>
    <row r="6" spans="1:8" ht="267" customHeight="1">
      <c r="A6" s="455" t="s">
        <v>292</v>
      </c>
      <c r="B6" s="455"/>
      <c r="C6" s="455"/>
      <c r="D6" s="455"/>
      <c r="E6" s="455"/>
    </row>
    <row r="7" spans="1:8" ht="53.25" customHeight="1">
      <c r="A7" s="458" t="s">
        <v>66</v>
      </c>
      <c r="B7" s="458"/>
      <c r="C7" s="458"/>
      <c r="D7" s="458"/>
      <c r="E7" s="458"/>
    </row>
    <row r="8" spans="1:8" ht="26.25" customHeight="1">
      <c r="A8" s="456" t="s">
        <v>67</v>
      </c>
      <c r="B8" s="456"/>
      <c r="C8" s="456"/>
      <c r="D8" s="456"/>
      <c r="E8" s="456"/>
    </row>
    <row r="9" spans="1:8" ht="24" customHeight="1">
      <c r="A9" s="457" t="s">
        <v>68</v>
      </c>
      <c r="B9" s="457"/>
      <c r="C9" s="457"/>
      <c r="D9" s="457"/>
      <c r="E9" s="457"/>
    </row>
    <row r="10" spans="1:8" ht="18.75" customHeight="1">
      <c r="A10" s="35"/>
      <c r="B10" s="129"/>
      <c r="C10" s="101"/>
      <c r="D10" s="101"/>
      <c r="E10" s="101"/>
    </row>
    <row r="11" spans="1:8" s="25" customFormat="1" ht="30.75" customHeight="1">
      <c r="A11" s="447" t="s">
        <v>69</v>
      </c>
      <c r="B11" s="447"/>
      <c r="C11" s="447"/>
      <c r="D11" s="447"/>
      <c r="E11" s="447"/>
    </row>
    <row r="12" spans="1:8" s="25" customFormat="1" ht="109.5" customHeight="1">
      <c r="A12" s="448" t="s">
        <v>70</v>
      </c>
      <c r="B12" s="447"/>
      <c r="C12" s="447"/>
      <c r="D12" s="447"/>
      <c r="E12" s="447"/>
    </row>
    <row r="13" spans="1:8" ht="57" customHeight="1" thickBot="1">
      <c r="A13" s="449" t="s">
        <v>71</v>
      </c>
      <c r="B13" s="449"/>
      <c r="C13" s="449"/>
      <c r="D13" s="449"/>
      <c r="E13" s="449"/>
    </row>
    <row r="14" spans="1:8" ht="142.5" customHeight="1">
      <c r="A14" s="450" t="s">
        <v>72</v>
      </c>
      <c r="B14" s="450"/>
      <c r="C14" s="450"/>
      <c r="D14" s="450"/>
      <c r="E14" s="450"/>
      <c r="F14" s="467" t="s">
        <v>320</v>
      </c>
      <c r="G14" s="468"/>
      <c r="H14" s="469"/>
    </row>
    <row r="15" spans="1:8" ht="67.5" customHeight="1">
      <c r="A15" s="450" t="s">
        <v>73</v>
      </c>
      <c r="B15" s="450"/>
      <c r="C15" s="450"/>
      <c r="D15" s="450"/>
      <c r="E15" s="450"/>
      <c r="F15" s="297"/>
      <c r="G15" s="298">
        <v>2014</v>
      </c>
      <c r="H15" s="299">
        <v>2018</v>
      </c>
    </row>
    <row r="16" spans="1:8" ht="30" customHeight="1">
      <c r="A16" s="446" t="s">
        <v>321</v>
      </c>
      <c r="B16" s="446"/>
      <c r="C16" s="446"/>
      <c r="D16" s="446"/>
      <c r="E16" s="117"/>
      <c r="F16" s="300" t="s">
        <v>189</v>
      </c>
      <c r="G16" s="301">
        <v>0.52700000000000002</v>
      </c>
      <c r="H16" s="302">
        <v>0.44</v>
      </c>
    </row>
    <row r="17" spans="1:8" ht="18" customHeight="1">
      <c r="A17" s="451" t="s">
        <v>261</v>
      </c>
      <c r="B17" s="451"/>
      <c r="C17" s="451"/>
      <c r="D17" s="451"/>
      <c r="E17" s="116"/>
      <c r="F17" s="300" t="s">
        <v>48</v>
      </c>
      <c r="G17" s="301">
        <v>0.253</v>
      </c>
      <c r="H17" s="302">
        <v>0.28000000000000003</v>
      </c>
    </row>
    <row r="18" spans="1:8" ht="39" customHeight="1">
      <c r="A18" s="446" t="s">
        <v>259</v>
      </c>
      <c r="B18" s="446"/>
      <c r="C18" s="446"/>
      <c r="D18" s="446"/>
      <c r="E18" s="117"/>
      <c r="F18" s="303" t="s">
        <v>240</v>
      </c>
      <c r="G18" s="304">
        <v>0.189</v>
      </c>
      <c r="H18" s="305">
        <v>0.23</v>
      </c>
    </row>
    <row r="19" spans="1:8" ht="45.75" customHeight="1">
      <c r="A19" s="446" t="s">
        <v>260</v>
      </c>
      <c r="B19" s="446"/>
      <c r="C19" s="446"/>
      <c r="D19" s="446"/>
      <c r="E19" s="117"/>
      <c r="F19" s="303" t="s">
        <v>309</v>
      </c>
      <c r="G19" s="304">
        <v>1.9E-2</v>
      </c>
      <c r="H19" s="305">
        <v>0.02</v>
      </c>
    </row>
    <row r="20" spans="1:8" ht="31.5" customHeight="1">
      <c r="A20" s="446" t="s">
        <v>322</v>
      </c>
      <c r="B20" s="446"/>
      <c r="C20" s="446"/>
      <c r="D20" s="446"/>
      <c r="E20" s="446"/>
      <c r="F20" s="303" t="s">
        <v>242</v>
      </c>
      <c r="G20" s="304">
        <v>1.2E-2</v>
      </c>
      <c r="H20" s="305">
        <v>0.03</v>
      </c>
    </row>
    <row r="21" spans="1:8" ht="73.5" customHeight="1" thickBot="1">
      <c r="A21" s="446" t="s">
        <v>323</v>
      </c>
      <c r="B21" s="446"/>
      <c r="C21" s="446"/>
      <c r="D21" s="446"/>
      <c r="E21" s="12"/>
      <c r="F21" s="306"/>
      <c r="G21" s="307">
        <f>SUM(G16:G20)</f>
        <v>1</v>
      </c>
      <c r="H21" s="308">
        <f>SUM(H16:H20)</f>
        <v>1</v>
      </c>
    </row>
    <row r="22" spans="1:8" ht="71.400000000000006" customHeight="1">
      <c r="A22" s="446" t="s">
        <v>324</v>
      </c>
      <c r="B22" s="446"/>
      <c r="C22" s="446"/>
      <c r="D22" s="446"/>
      <c r="E22" s="446"/>
    </row>
    <row r="23" spans="1:8" ht="234" customHeight="1">
      <c r="A23" s="446" t="s">
        <v>325</v>
      </c>
      <c r="B23" s="446"/>
      <c r="C23" s="446"/>
      <c r="D23" s="446"/>
      <c r="E23" s="446"/>
    </row>
    <row r="24" spans="1:8" ht="63" customHeight="1">
      <c r="A24" s="446" t="s">
        <v>326</v>
      </c>
      <c r="B24" s="446"/>
      <c r="C24" s="446"/>
      <c r="D24" s="446"/>
      <c r="E24" s="446"/>
    </row>
    <row r="25" spans="1:8" ht="19.5" customHeight="1">
      <c r="A25" s="69" t="s">
        <v>313</v>
      </c>
      <c r="B25" s="309">
        <v>0.03</v>
      </c>
      <c r="C25" s="189">
        <f xml:space="preserve"> 31.158*B25 +1</f>
        <v>1.9347400000000001</v>
      </c>
      <c r="D25" s="69" t="s">
        <v>263</v>
      </c>
      <c r="E25" s="278" t="s">
        <v>314</v>
      </c>
    </row>
    <row r="26" spans="1:8" s="11" customFormat="1" ht="10.8" customHeight="1">
      <c r="A26" s="275"/>
      <c r="B26" s="276"/>
      <c r="C26" s="277"/>
      <c r="D26" s="275"/>
      <c r="E26" s="275"/>
    </row>
    <row r="27" spans="1:8" s="11" customFormat="1" ht="27.6" customHeight="1">
      <c r="A27" s="279" t="s">
        <v>311</v>
      </c>
      <c r="B27" s="279"/>
      <c r="C27" s="279"/>
      <c r="D27" s="279"/>
      <c r="E27" s="279"/>
    </row>
    <row r="28" spans="1:8" ht="28.5" customHeight="1">
      <c r="A28" s="262"/>
      <c r="B28" s="189">
        <f>H16*2 +H17*1.2*C25</f>
        <v>1.5300726400000002</v>
      </c>
      <c r="C28" s="190" t="s">
        <v>262</v>
      </c>
      <c r="D28" s="69"/>
      <c r="E28" s="310" t="s">
        <v>327</v>
      </c>
    </row>
    <row r="29" spans="1:8" ht="21.75" customHeight="1">
      <c r="A29" s="463" t="s">
        <v>192</v>
      </c>
      <c r="B29" s="463"/>
      <c r="C29" s="294">
        <v>72040</v>
      </c>
      <c r="D29" s="69" t="s">
        <v>33</v>
      </c>
      <c r="E29" s="12"/>
    </row>
    <row r="30" spans="1:8" ht="25.5" customHeight="1">
      <c r="A30" s="463" t="s">
        <v>191</v>
      </c>
      <c r="B30" s="463"/>
      <c r="C30" s="159">
        <f>B28*(C29)</f>
        <v>110226.43298560001</v>
      </c>
      <c r="D30" s="69" t="s">
        <v>190</v>
      </c>
      <c r="E30" s="12"/>
    </row>
    <row r="31" spans="1:8" ht="24.6" customHeight="1">
      <c r="A31" s="464"/>
      <c r="B31" s="464"/>
      <c r="C31" s="295">
        <f>C30/2204</f>
        <v>50.01199318765881</v>
      </c>
      <c r="D31" s="268" t="s">
        <v>274</v>
      </c>
      <c r="E31" s="269" t="s">
        <v>312</v>
      </c>
    </row>
    <row r="32" spans="1:8" ht="22.5" customHeight="1">
      <c r="A32" s="465" t="s">
        <v>197</v>
      </c>
      <c r="B32" s="465"/>
      <c r="C32" s="207">
        <v>20</v>
      </c>
      <c r="D32" s="208" t="s">
        <v>108</v>
      </c>
      <c r="E32" s="13"/>
    </row>
    <row r="33" spans="1:5" ht="30.75" customHeight="1">
      <c r="A33" s="466"/>
      <c r="B33" s="466"/>
      <c r="C33" s="207">
        <f>C32*C31</f>
        <v>1000.2398637531762</v>
      </c>
      <c r="D33" s="209" t="s">
        <v>275</v>
      </c>
      <c r="E33" s="13"/>
    </row>
    <row r="34" spans="1:5" ht="18.75" customHeight="1">
      <c r="A34" s="457" t="s">
        <v>74</v>
      </c>
      <c r="B34" s="457"/>
      <c r="C34" s="457"/>
      <c r="D34" s="457"/>
      <c r="E34" s="457"/>
    </row>
    <row r="35" spans="1:5" ht="48" customHeight="1">
      <c r="A35" s="475" t="s">
        <v>75</v>
      </c>
      <c r="B35" s="475"/>
      <c r="C35" s="475"/>
      <c r="D35" s="475"/>
      <c r="E35" s="475"/>
    </row>
    <row r="36" spans="1:5" ht="51" customHeight="1">
      <c r="A36" s="475" t="s">
        <v>76</v>
      </c>
      <c r="B36" s="475"/>
      <c r="C36" s="475"/>
      <c r="D36" s="475"/>
      <c r="E36" s="475"/>
    </row>
    <row r="37" spans="1:5" ht="12.75" customHeight="1">
      <c r="A37" s="36"/>
      <c r="B37" s="130"/>
      <c r="C37" s="102"/>
      <c r="D37" s="102"/>
      <c r="E37" s="102"/>
    </row>
    <row r="38" spans="1:5" ht="18" customHeight="1">
      <c r="A38" s="476" t="s">
        <v>77</v>
      </c>
      <c r="B38" s="476"/>
      <c r="C38" s="476"/>
      <c r="D38" s="476"/>
      <c r="E38" s="476"/>
    </row>
    <row r="39" spans="1:5" ht="18" customHeight="1">
      <c r="A39" s="37"/>
      <c r="B39" s="131"/>
      <c r="C39" s="103"/>
      <c r="D39" s="103"/>
      <c r="E39" s="103"/>
    </row>
    <row r="40" spans="1:5" ht="18" customHeight="1">
      <c r="A40" s="38" t="s">
        <v>78</v>
      </c>
      <c r="B40" s="132"/>
      <c r="C40" s="280">
        <f>C29</f>
        <v>72040</v>
      </c>
      <c r="D40" s="104" t="s">
        <v>33</v>
      </c>
      <c r="E40" s="12"/>
    </row>
    <row r="41" spans="1:5">
      <c r="A41" s="39" t="s">
        <v>79</v>
      </c>
      <c r="B41" s="132">
        <v>0.17</v>
      </c>
      <c r="C41" s="118">
        <f>B41*C29</f>
        <v>12246.800000000001</v>
      </c>
      <c r="D41" s="104"/>
      <c r="E41" s="12"/>
    </row>
    <row r="42" spans="1:5">
      <c r="A42" s="39"/>
      <c r="B42" s="132"/>
      <c r="C42" s="118"/>
      <c r="D42" s="104"/>
      <c r="E42" s="12"/>
    </row>
    <row r="43" spans="1:5">
      <c r="A43" s="40" t="s">
        <v>80</v>
      </c>
      <c r="B43" s="132"/>
      <c r="C43" s="119">
        <f>0.53*C29</f>
        <v>38181.200000000004</v>
      </c>
      <c r="D43" s="104" t="s">
        <v>33</v>
      </c>
      <c r="E43" s="12"/>
    </row>
    <row r="44" spans="1:5">
      <c r="A44" s="39" t="s">
        <v>79</v>
      </c>
      <c r="B44" s="132">
        <v>0.17</v>
      </c>
      <c r="C44" s="118">
        <f>B44*C43</f>
        <v>6490.804000000001</v>
      </c>
      <c r="D44" s="104"/>
      <c r="E44" s="12"/>
    </row>
    <row r="45" spans="1:5">
      <c r="A45" s="39" t="s">
        <v>81</v>
      </c>
      <c r="B45" s="132">
        <v>0.27</v>
      </c>
      <c r="C45" s="120">
        <f>B45*C43</f>
        <v>10308.924000000003</v>
      </c>
      <c r="D45" s="105"/>
      <c r="E45" s="12"/>
    </row>
    <row r="46" spans="1:5">
      <c r="A46" s="39" t="s">
        <v>82</v>
      </c>
      <c r="B46" s="132"/>
      <c r="C46" s="118">
        <f>SUM(C44:C45)</f>
        <v>16799.728000000003</v>
      </c>
      <c r="D46" s="105"/>
      <c r="E46" s="12"/>
    </row>
    <row r="47" spans="1:5">
      <c r="A47" s="39"/>
      <c r="B47" s="132"/>
      <c r="C47" s="118"/>
      <c r="D47" s="105"/>
      <c r="E47" s="12"/>
    </row>
    <row r="48" spans="1:5" ht="18">
      <c r="A48" s="191" t="s">
        <v>83</v>
      </c>
      <c r="B48" s="192"/>
      <c r="C48" s="193">
        <f>0.253*C29</f>
        <v>18226.12</v>
      </c>
      <c r="D48" s="194" t="s">
        <v>33</v>
      </c>
      <c r="E48" s="12"/>
    </row>
    <row r="49" spans="1:5" ht="18">
      <c r="A49" s="44" t="s">
        <v>79</v>
      </c>
      <c r="B49" s="192">
        <v>0.17</v>
      </c>
      <c r="C49" s="124">
        <f>0.17*C48</f>
        <v>3098.4404</v>
      </c>
      <c r="D49" s="194"/>
      <c r="E49" s="12"/>
    </row>
    <row r="50" spans="1:5" ht="18">
      <c r="A50" s="44" t="s">
        <v>81</v>
      </c>
      <c r="B50" s="192">
        <f>B49+0.049</f>
        <v>0.21900000000000003</v>
      </c>
      <c r="C50" s="195">
        <f>B50*C48</f>
        <v>3991.5202800000002</v>
      </c>
      <c r="D50" s="194"/>
      <c r="E50" s="12"/>
    </row>
    <row r="51" spans="1:5" ht="18">
      <c r="A51" s="44" t="s">
        <v>82</v>
      </c>
      <c r="B51" s="192"/>
      <c r="C51" s="124">
        <f>SUM(C49:C50)</f>
        <v>7089.9606800000001</v>
      </c>
      <c r="D51" s="194"/>
      <c r="E51" s="12"/>
    </row>
    <row r="52" spans="1:5">
      <c r="A52" s="39"/>
      <c r="B52" s="132"/>
      <c r="C52" s="118"/>
      <c r="D52" s="104"/>
      <c r="E52" s="12"/>
    </row>
    <row r="53" spans="1:5" ht="15.6">
      <c r="A53" s="41" t="s">
        <v>84</v>
      </c>
      <c r="B53" s="132"/>
      <c r="C53" s="119">
        <f>C29-C43-C48</f>
        <v>15632.679999999997</v>
      </c>
      <c r="D53" s="104" t="s">
        <v>33</v>
      </c>
      <c r="E53" s="12"/>
    </row>
    <row r="54" spans="1:5">
      <c r="A54" s="39" t="s">
        <v>79</v>
      </c>
      <c r="B54" s="132">
        <v>0.17</v>
      </c>
      <c r="C54" s="118">
        <f>C53*0.17</f>
        <v>2657.5555999999997</v>
      </c>
      <c r="D54" s="104"/>
      <c r="E54" s="12"/>
    </row>
    <row r="55" spans="1:5">
      <c r="A55" s="39" t="s">
        <v>81</v>
      </c>
      <c r="B55" s="132">
        <v>0</v>
      </c>
      <c r="C55" s="121">
        <f>B55*C53</f>
        <v>0</v>
      </c>
      <c r="D55" s="104"/>
      <c r="E55" s="12"/>
    </row>
    <row r="56" spans="1:5">
      <c r="A56" s="39" t="s">
        <v>82</v>
      </c>
      <c r="B56" s="132"/>
      <c r="C56" s="118">
        <f>SUM(C54:C55)</f>
        <v>2657.5555999999997</v>
      </c>
      <c r="D56" s="104"/>
      <c r="E56" s="12"/>
    </row>
    <row r="57" spans="1:5">
      <c r="A57" s="39"/>
      <c r="B57" s="132"/>
      <c r="C57" s="118"/>
      <c r="D57" s="104"/>
      <c r="E57" s="12"/>
    </row>
    <row r="58" spans="1:5">
      <c r="A58" s="39"/>
      <c r="B58" s="132"/>
      <c r="C58" s="118"/>
      <c r="D58" s="104"/>
      <c r="E58" s="12"/>
    </row>
    <row r="59" spans="1:5" ht="15.6">
      <c r="A59" s="42" t="s">
        <v>85</v>
      </c>
      <c r="B59" s="132"/>
      <c r="C59" s="122">
        <f>C51+C46+C56</f>
        <v>26547.244280000003</v>
      </c>
      <c r="D59" s="104"/>
      <c r="E59" s="12"/>
    </row>
    <row r="60" spans="1:5" ht="15.6">
      <c r="A60" s="43" t="s">
        <v>86</v>
      </c>
      <c r="B60" s="133"/>
      <c r="C60" s="123">
        <f>C54+C49+C44</f>
        <v>12246.8</v>
      </c>
      <c r="D60" s="104"/>
      <c r="E60" s="12"/>
    </row>
    <row r="61" spans="1:5" ht="29.4" customHeight="1" thickBot="1">
      <c r="A61" s="270" t="s">
        <v>141</v>
      </c>
      <c r="B61" s="271"/>
      <c r="C61" s="272">
        <f>C55+C50+C45</f>
        <v>14300.444280000003</v>
      </c>
      <c r="D61" s="273"/>
      <c r="E61" s="274" t="s">
        <v>310</v>
      </c>
    </row>
    <row r="62" spans="1:5" ht="16.2" thickTop="1">
      <c r="A62" s="199"/>
      <c r="B62" s="200"/>
      <c r="C62" s="201"/>
      <c r="D62" s="127"/>
      <c r="E62" s="127"/>
    </row>
    <row r="63" spans="1:5" ht="15.6">
      <c r="A63" s="202" t="s">
        <v>87</v>
      </c>
      <c r="B63" s="134">
        <v>20</v>
      </c>
      <c r="C63" s="13"/>
      <c r="D63" s="13" t="s">
        <v>88</v>
      </c>
      <c r="E63" s="13">
        <v>1.57</v>
      </c>
    </row>
    <row r="64" spans="1:5" ht="15.6">
      <c r="A64" s="203" t="s">
        <v>86</v>
      </c>
      <c r="B64" s="134"/>
      <c r="C64" s="440">
        <f>C60*E63*B63</f>
        <v>384549.51999999996</v>
      </c>
      <c r="D64" s="13"/>
      <c r="E64" s="13"/>
    </row>
    <row r="65" spans="1:5" ht="15.6">
      <c r="A65" s="202" t="s">
        <v>141</v>
      </c>
      <c r="B65" s="134"/>
      <c r="C65" s="440">
        <f>(C55+C50+C45)*E63*B63</f>
        <v>449033.95039200014</v>
      </c>
      <c r="D65" s="13"/>
      <c r="E65" s="13"/>
    </row>
    <row r="66" spans="1:5" ht="15.6">
      <c r="A66" s="202"/>
      <c r="B66" s="134"/>
      <c r="C66" s="441"/>
      <c r="D66" s="13"/>
      <c r="E66" s="13"/>
    </row>
    <row r="67" spans="1:5" ht="18">
      <c r="A67" s="204" t="s">
        <v>177</v>
      </c>
      <c r="B67" s="205"/>
      <c r="C67" s="442">
        <f>B63*C59*E63</f>
        <v>833583.47039200005</v>
      </c>
      <c r="D67" s="13"/>
      <c r="E67" s="13"/>
    </row>
    <row r="68" spans="1:5" ht="18">
      <c r="A68" s="204"/>
      <c r="B68" s="205"/>
      <c r="C68" s="206"/>
      <c r="D68" s="13"/>
      <c r="E68" s="13"/>
    </row>
    <row r="69" spans="1:5" ht="21">
      <c r="A69" s="459" t="s">
        <v>89</v>
      </c>
      <c r="B69" s="459"/>
      <c r="C69" s="459"/>
      <c r="D69" s="459"/>
      <c r="E69" s="459"/>
    </row>
    <row r="70" spans="1:5" ht="40.5" customHeight="1">
      <c r="A70" s="460" t="s">
        <v>90</v>
      </c>
      <c r="B70" s="460"/>
      <c r="C70" s="460"/>
      <c r="D70" s="460"/>
      <c r="E70" s="460"/>
    </row>
    <row r="71" spans="1:5" ht="31.2">
      <c r="A71" s="210" t="s">
        <v>91</v>
      </c>
      <c r="B71" s="211"/>
      <c r="C71" s="212">
        <v>72040</v>
      </c>
      <c r="D71" s="214" t="s">
        <v>33</v>
      </c>
      <c r="E71" s="213"/>
    </row>
    <row r="72" spans="1:5" ht="15.6">
      <c r="A72" s="214"/>
      <c r="B72" s="211"/>
      <c r="C72" s="438">
        <f>C71*2</f>
        <v>144080</v>
      </c>
      <c r="D72" s="214" t="s">
        <v>92</v>
      </c>
      <c r="E72" s="213"/>
    </row>
    <row r="73" spans="1:5" ht="15.6">
      <c r="A73" s="214"/>
      <c r="B73" s="211"/>
      <c r="C73" s="212">
        <f>C72/12</f>
        <v>12006.666666666666</v>
      </c>
      <c r="D73" s="214" t="s">
        <v>93</v>
      </c>
      <c r="E73" s="213"/>
    </row>
    <row r="74" spans="1:5" ht="15.6">
      <c r="A74" s="214"/>
      <c r="B74" s="211"/>
      <c r="C74" s="215">
        <f>C169*C73/1000</f>
        <v>67.71759999999999</v>
      </c>
      <c r="D74" s="214" t="s">
        <v>94</v>
      </c>
      <c r="E74" s="213"/>
    </row>
    <row r="75" spans="1:5" ht="15.6">
      <c r="A75" s="216"/>
      <c r="B75" s="217"/>
      <c r="C75" s="218">
        <f>C74*12</f>
        <v>812.61119999999983</v>
      </c>
      <c r="D75" s="216" t="s">
        <v>43</v>
      </c>
      <c r="E75" s="219"/>
    </row>
    <row r="76" spans="1:5" ht="15.6">
      <c r="A76" s="45" t="s">
        <v>87</v>
      </c>
      <c r="B76" s="134">
        <v>20</v>
      </c>
      <c r="C76" s="13"/>
      <c r="D76" s="107"/>
      <c r="E76" s="106"/>
    </row>
    <row r="77" spans="1:5" ht="20.25" customHeight="1">
      <c r="A77" s="45"/>
      <c r="B77" s="134"/>
      <c r="C77" s="438">
        <f>B76*C72</f>
        <v>2881600</v>
      </c>
      <c r="D77" s="461" t="s">
        <v>95</v>
      </c>
      <c r="E77" s="461"/>
    </row>
    <row r="78" spans="1:5" ht="18">
      <c r="A78" s="462" t="s">
        <v>96</v>
      </c>
      <c r="B78" s="462"/>
      <c r="C78" s="439">
        <f>C75*20*E63</f>
        <v>25515.991679999996</v>
      </c>
      <c r="D78" s="28" t="s">
        <v>142</v>
      </c>
      <c r="E78" s="13"/>
    </row>
    <row r="79" spans="1:5" ht="18">
      <c r="A79" s="196"/>
      <c r="B79" s="135"/>
      <c r="C79" s="125"/>
      <c r="D79" s="13"/>
      <c r="E79" s="13"/>
    </row>
    <row r="80" spans="1:5" ht="26.25" customHeight="1">
      <c r="A80" s="456" t="s">
        <v>97</v>
      </c>
      <c r="B80" s="456"/>
      <c r="C80" s="456"/>
      <c r="D80" s="456"/>
      <c r="E80" s="456"/>
    </row>
    <row r="81" spans="1:7" ht="18.75" customHeight="1">
      <c r="A81" s="457" t="s">
        <v>98</v>
      </c>
      <c r="B81" s="457"/>
      <c r="C81" s="457"/>
      <c r="D81" s="457"/>
      <c r="E81" s="457"/>
    </row>
    <row r="82" spans="1:7" ht="18.75" customHeight="1">
      <c r="A82" s="474" t="s">
        <v>99</v>
      </c>
      <c r="B82" s="474"/>
      <c r="C82" s="474"/>
      <c r="D82" s="474"/>
      <c r="E82" s="474"/>
    </row>
    <row r="83" spans="1:7" ht="97.5" customHeight="1">
      <c r="A83" s="450" t="s">
        <v>283</v>
      </c>
      <c r="B83" s="450"/>
      <c r="C83" s="450"/>
      <c r="D83" s="450"/>
      <c r="E83" s="450"/>
    </row>
    <row r="84" spans="1:7" ht="15.6">
      <c r="A84" s="220" t="s">
        <v>100</v>
      </c>
      <c r="B84" s="221"/>
      <c r="C84" s="222"/>
      <c r="D84" s="222"/>
      <c r="E84" s="222"/>
    </row>
    <row r="85" spans="1:7" ht="15.6">
      <c r="A85" s="220"/>
      <c r="B85" s="221"/>
      <c r="C85" s="222"/>
      <c r="D85" s="222"/>
      <c r="E85" s="222"/>
    </row>
    <row r="86" spans="1:7" ht="18">
      <c r="A86" s="220" t="s">
        <v>101</v>
      </c>
      <c r="B86" s="281">
        <v>5196</v>
      </c>
      <c r="C86" s="282" t="s">
        <v>171</v>
      </c>
      <c r="D86" s="222"/>
      <c r="E86" s="222"/>
    </row>
    <row r="87" spans="1:7" ht="15.6">
      <c r="A87" s="225" t="s">
        <v>102</v>
      </c>
      <c r="B87" s="221"/>
      <c r="C87" s="224"/>
      <c r="D87" s="222"/>
      <c r="E87" s="222"/>
    </row>
    <row r="88" spans="1:7">
      <c r="A88" s="226" t="s">
        <v>45</v>
      </c>
      <c r="B88" s="213">
        <v>5.3020000000000003E-3</v>
      </c>
      <c r="C88" s="198" t="s">
        <v>46</v>
      </c>
      <c r="D88" s="227"/>
      <c r="E88" s="228" t="s">
        <v>264</v>
      </c>
      <c r="G88">
        <f>2204*B88</f>
        <v>11.685608</v>
      </c>
    </row>
    <row r="89" spans="1:7" ht="15.6">
      <c r="A89" s="229" t="s">
        <v>103</v>
      </c>
      <c r="B89" s="230">
        <f>B86*B88</f>
        <v>27.549192000000001</v>
      </c>
      <c r="C89" s="231" t="s">
        <v>172</v>
      </c>
      <c r="D89" s="222"/>
      <c r="E89" s="213"/>
    </row>
    <row r="90" spans="1:7" ht="15.6">
      <c r="A90" s="229" t="s">
        <v>104</v>
      </c>
      <c r="B90" s="232">
        <v>60</v>
      </c>
      <c r="C90" s="231" t="s">
        <v>105</v>
      </c>
      <c r="D90" s="222"/>
      <c r="E90" s="213"/>
    </row>
    <row r="91" spans="1:7" ht="15.6">
      <c r="A91" s="233" t="s">
        <v>269</v>
      </c>
      <c r="B91" s="234">
        <f>B90*B89</f>
        <v>1652.9515200000001</v>
      </c>
      <c r="C91" s="231" t="s">
        <v>106</v>
      </c>
      <c r="D91" s="224" t="s">
        <v>173</v>
      </c>
      <c r="E91" s="213"/>
    </row>
    <row r="92" spans="1:7" ht="15.6">
      <c r="A92" s="235" t="s">
        <v>265</v>
      </c>
      <c r="B92" s="232"/>
      <c r="C92" s="231"/>
      <c r="D92" s="224"/>
      <c r="E92" s="213"/>
    </row>
    <row r="93" spans="1:7" ht="18">
      <c r="A93" s="229" t="s">
        <v>266</v>
      </c>
      <c r="B93" s="236">
        <f>B25</f>
        <v>0.03</v>
      </c>
      <c r="C93" s="283" t="s">
        <v>268</v>
      </c>
      <c r="D93" s="256"/>
      <c r="E93" s="213"/>
    </row>
    <row r="94" spans="1:7" ht="15.6">
      <c r="A94" s="229" t="s">
        <v>267</v>
      </c>
      <c r="B94" s="237">
        <f>C25</f>
        <v>1.9347400000000001</v>
      </c>
      <c r="C94" s="231"/>
      <c r="D94" s="224"/>
      <c r="E94" s="213"/>
    </row>
    <row r="95" spans="1:7" ht="23.4">
      <c r="A95" s="238" t="s">
        <v>315</v>
      </c>
      <c r="B95" s="311">
        <f>B94*B89</f>
        <v>53.300523730080009</v>
      </c>
      <c r="C95" s="231" t="s">
        <v>284</v>
      </c>
      <c r="D95" s="224"/>
      <c r="E95" s="269" t="s">
        <v>312</v>
      </c>
    </row>
    <row r="96" spans="1:7" ht="18">
      <c r="A96" s="239" t="s">
        <v>270</v>
      </c>
      <c r="B96" s="240">
        <f>B90*B95</f>
        <v>3198.0314238048004</v>
      </c>
      <c r="C96" s="241"/>
      <c r="D96" s="242"/>
      <c r="E96" s="219"/>
    </row>
    <row r="97" spans="1:5" ht="18">
      <c r="A97" s="160" t="s">
        <v>107</v>
      </c>
      <c r="B97" s="162">
        <v>20</v>
      </c>
      <c r="C97" s="161" t="s">
        <v>108</v>
      </c>
      <c r="D97" s="108"/>
      <c r="E97" s="126"/>
    </row>
    <row r="98" spans="1:5" ht="18">
      <c r="A98" s="46" t="s">
        <v>271</v>
      </c>
      <c r="B98" s="163">
        <f>B97*B95</f>
        <v>1066.0104746016002</v>
      </c>
      <c r="C98" s="161"/>
      <c r="D98" s="108"/>
      <c r="E98" s="126"/>
    </row>
    <row r="99" spans="1:5" ht="18">
      <c r="A99" s="46" t="s">
        <v>174</v>
      </c>
      <c r="B99" s="187">
        <f>B97*B96</f>
        <v>63960.628476096012</v>
      </c>
      <c r="C99" s="167" t="s">
        <v>272</v>
      </c>
      <c r="D99" s="108"/>
      <c r="E99" s="126"/>
    </row>
    <row r="100" spans="1:5">
      <c r="A100" s="26"/>
      <c r="B100" s="136"/>
      <c r="C100" s="126"/>
      <c r="D100" s="108"/>
      <c r="E100" s="126"/>
    </row>
    <row r="101" spans="1:5" ht="21">
      <c r="A101" s="70" t="s">
        <v>109</v>
      </c>
      <c r="B101" s="70"/>
      <c r="C101" s="70"/>
      <c r="D101" s="70"/>
      <c r="E101" s="70"/>
    </row>
    <row r="102" spans="1:5" ht="15.6">
      <c r="A102" s="220" t="s">
        <v>110</v>
      </c>
      <c r="B102" s="251">
        <v>0.3</v>
      </c>
      <c r="C102" s="224" t="s">
        <v>111</v>
      </c>
      <c r="D102" s="222"/>
      <c r="E102" s="222"/>
    </row>
    <row r="103" spans="1:5" ht="15.6">
      <c r="A103" s="220"/>
      <c r="B103" s="223">
        <f>B86*B102</f>
        <v>1558.8</v>
      </c>
      <c r="C103" s="231" t="s">
        <v>112</v>
      </c>
      <c r="D103" s="213"/>
      <c r="E103" s="213"/>
    </row>
    <row r="104" spans="1:5" ht="15.6">
      <c r="A104" s="220"/>
      <c r="B104" s="223">
        <f>B103/12</f>
        <v>129.9</v>
      </c>
      <c r="C104" s="231" t="s">
        <v>113</v>
      </c>
      <c r="D104" s="213"/>
      <c r="E104" s="213"/>
    </row>
    <row r="105" spans="1:5" ht="15.6">
      <c r="A105" s="220"/>
      <c r="B105" s="221">
        <f>B169</f>
        <v>2.82</v>
      </c>
      <c r="C105" s="231" t="s">
        <v>114</v>
      </c>
      <c r="D105" s="213"/>
      <c r="E105" s="213"/>
    </row>
    <row r="106" spans="1:5" ht="15.6">
      <c r="A106" s="252"/>
      <c r="B106" s="253">
        <f>B105*12</f>
        <v>33.839999999999996</v>
      </c>
      <c r="C106" s="241" t="s">
        <v>115</v>
      </c>
      <c r="D106" s="219"/>
      <c r="E106" s="219"/>
    </row>
    <row r="107" spans="1:5" ht="15.6">
      <c r="A107" s="48" t="s">
        <v>116</v>
      </c>
      <c r="B107" s="94">
        <v>20</v>
      </c>
      <c r="C107" s="28"/>
      <c r="D107" s="13"/>
      <c r="E107" s="13"/>
    </row>
    <row r="108" spans="1:5" ht="26.25" customHeight="1">
      <c r="A108" s="47"/>
      <c r="B108" s="434">
        <f>B107*B103</f>
        <v>31176</v>
      </c>
      <c r="C108" s="28" t="s">
        <v>117</v>
      </c>
      <c r="D108" s="13"/>
      <c r="E108" s="13"/>
    </row>
    <row r="109" spans="1:5" ht="21.75" customHeight="1">
      <c r="A109" s="49"/>
      <c r="B109" s="435">
        <f>B107*B106</f>
        <v>676.8</v>
      </c>
      <c r="C109" s="28" t="s">
        <v>118</v>
      </c>
      <c r="D109" s="13" t="s">
        <v>142</v>
      </c>
      <c r="E109" s="13"/>
    </row>
    <row r="110" spans="1:5" ht="21.75" customHeight="1">
      <c r="A110" s="316"/>
      <c r="B110" s="317"/>
      <c r="C110" s="318"/>
      <c r="D110" s="319"/>
      <c r="E110" s="319"/>
    </row>
    <row r="111" spans="1:5" ht="50.25" customHeight="1">
      <c r="A111" s="320" t="s">
        <v>276</v>
      </c>
      <c r="B111" s="137">
        <f>B96+C61</f>
        <v>17498.475703804805</v>
      </c>
      <c r="C111" s="254" t="s">
        <v>278</v>
      </c>
      <c r="D111" s="110"/>
      <c r="E111" s="110"/>
    </row>
    <row r="112" spans="1:5" ht="50.25" customHeight="1">
      <c r="A112" s="50"/>
      <c r="B112" s="137">
        <f>B99+C65</f>
        <v>512994.57886809617</v>
      </c>
      <c r="C112" s="254" t="s">
        <v>277</v>
      </c>
      <c r="D112" s="197"/>
      <c r="E112" s="197"/>
    </row>
    <row r="113" spans="1:7" ht="16.5" customHeight="1">
      <c r="A113" s="15"/>
      <c r="B113" s="321"/>
      <c r="C113" s="319"/>
      <c r="D113" s="319"/>
      <c r="E113" s="319"/>
    </row>
    <row r="114" spans="1:7" ht="40.5" customHeight="1">
      <c r="A114" s="71" t="s">
        <v>119</v>
      </c>
      <c r="B114" s="71"/>
      <c r="C114" s="71"/>
      <c r="D114" s="71"/>
      <c r="E114" s="71"/>
    </row>
    <row r="115" spans="1:7" ht="16.5" customHeight="1">
      <c r="A115" s="244" t="s">
        <v>47</v>
      </c>
      <c r="B115" s="243">
        <v>72040</v>
      </c>
      <c r="C115" s="245" t="s">
        <v>33</v>
      </c>
      <c r="D115" s="213"/>
      <c r="E115" s="213"/>
    </row>
    <row r="116" spans="1:7" ht="16.5" customHeight="1">
      <c r="A116" s="246" t="s">
        <v>175</v>
      </c>
      <c r="B116" s="247">
        <v>0.11</v>
      </c>
      <c r="C116" s="213" t="s">
        <v>120</v>
      </c>
      <c r="D116" s="213"/>
      <c r="E116" s="213"/>
    </row>
    <row r="117" spans="1:7" ht="16.5" customHeight="1">
      <c r="A117" s="198"/>
      <c r="B117" s="248">
        <f>B116*B115</f>
        <v>7924.4</v>
      </c>
      <c r="C117" s="213"/>
      <c r="D117" s="213"/>
      <c r="E117" s="213"/>
    </row>
    <row r="118" spans="1:7" ht="16.5" customHeight="1">
      <c r="A118" s="198"/>
      <c r="B118" s="249"/>
      <c r="C118" s="213"/>
      <c r="D118" s="213"/>
      <c r="E118" s="213"/>
    </row>
    <row r="119" spans="1:7" ht="16.5" customHeight="1">
      <c r="A119" s="244" t="s">
        <v>48</v>
      </c>
      <c r="B119" s="250">
        <v>5196</v>
      </c>
      <c r="C119" s="245" t="s">
        <v>34</v>
      </c>
      <c r="D119" s="213"/>
      <c r="E119" s="213"/>
    </row>
    <row r="120" spans="1:7" ht="16.5" customHeight="1">
      <c r="A120" s="198"/>
      <c r="B120" s="250">
        <f>B119*B172</f>
        <v>519600000</v>
      </c>
      <c r="C120" s="245" t="s">
        <v>35</v>
      </c>
      <c r="D120" s="213"/>
      <c r="E120" s="213"/>
    </row>
    <row r="121" spans="1:7" ht="16.5" customHeight="1">
      <c r="A121" s="198"/>
      <c r="B121" s="250">
        <f>B120*B174</f>
        <v>152242.80000000002</v>
      </c>
      <c r="C121" s="245" t="s">
        <v>33</v>
      </c>
      <c r="D121" s="213"/>
      <c r="E121" s="213"/>
      <c r="F121" s="1">
        <f>B115+B121</f>
        <v>224282.80000000002</v>
      </c>
      <c r="G121">
        <f>F121*0.11</f>
        <v>24671.108000000004</v>
      </c>
    </row>
    <row r="122" spans="1:7" ht="16.5" customHeight="1">
      <c r="A122" s="198"/>
      <c r="B122" s="248">
        <f>B116*B121</f>
        <v>16746.708000000002</v>
      </c>
      <c r="C122" s="245"/>
      <c r="D122" s="213"/>
      <c r="E122" s="213"/>
      <c r="F122">
        <f>G121*20</f>
        <v>493422.16000000009</v>
      </c>
    </row>
    <row r="123" spans="1:7" ht="16.5" customHeight="1">
      <c r="A123" s="198"/>
      <c r="B123" s="248"/>
      <c r="C123" s="245"/>
      <c r="D123" s="213"/>
      <c r="E123" s="213"/>
    </row>
    <row r="124" spans="1:7" ht="16.5" customHeight="1">
      <c r="A124" s="322" t="s">
        <v>176</v>
      </c>
      <c r="B124" s="436">
        <f>B122+B117</f>
        <v>24671.108</v>
      </c>
      <c r="C124" s="219"/>
      <c r="D124" s="213"/>
      <c r="E124" s="213"/>
    </row>
    <row r="125" spans="1:7" ht="16.5" customHeight="1">
      <c r="A125" s="48" t="s">
        <v>116</v>
      </c>
      <c r="B125" s="139">
        <v>20</v>
      </c>
      <c r="C125" s="13"/>
      <c r="D125" s="13"/>
      <c r="E125" s="13"/>
    </row>
    <row r="126" spans="1:7" ht="16.5" customHeight="1">
      <c r="A126" s="244" t="s">
        <v>47</v>
      </c>
      <c r="B126" s="260">
        <f>B125*B117</f>
        <v>158488</v>
      </c>
      <c r="C126" s="13"/>
      <c r="D126" s="13"/>
      <c r="E126" s="13"/>
    </row>
    <row r="127" spans="1:7" ht="16.5" customHeight="1">
      <c r="A127" s="244" t="s">
        <v>48</v>
      </c>
      <c r="B127" s="261">
        <f>B125*B122</f>
        <v>334934.16000000003</v>
      </c>
      <c r="C127" s="13"/>
      <c r="D127" s="13"/>
      <c r="E127" s="13"/>
    </row>
    <row r="128" spans="1:7" ht="49.5" customHeight="1">
      <c r="A128" s="10"/>
      <c r="B128" s="437">
        <f>B125*(B124)</f>
        <v>493422.16000000003</v>
      </c>
      <c r="C128" s="13"/>
      <c r="D128" s="13"/>
      <c r="E128" s="13"/>
    </row>
    <row r="129" spans="1:5" ht="49.5" customHeight="1">
      <c r="A129" s="320" t="s">
        <v>331</v>
      </c>
      <c r="B129" s="323">
        <f>B124</f>
        <v>24671.108</v>
      </c>
      <c r="C129" s="254" t="s">
        <v>278</v>
      </c>
      <c r="D129" s="296"/>
      <c r="E129" s="296"/>
    </row>
    <row r="130" spans="1:5" ht="25.8">
      <c r="A130" s="320"/>
      <c r="B130" s="140">
        <f>B128</f>
        <v>493422.16000000003</v>
      </c>
      <c r="C130" s="324" t="s">
        <v>332</v>
      </c>
      <c r="D130" s="110"/>
      <c r="E130" s="110"/>
    </row>
    <row r="131" spans="1:5" ht="19.5" customHeight="1">
      <c r="A131" s="15"/>
      <c r="B131" s="321"/>
      <c r="C131" s="319"/>
      <c r="D131" s="319"/>
      <c r="E131" s="319"/>
    </row>
    <row r="132" spans="1:5" ht="86.4">
      <c r="A132" s="52" t="s">
        <v>258</v>
      </c>
      <c r="B132" s="141">
        <f>B130+B112</f>
        <v>1006416.7388680961</v>
      </c>
      <c r="C132" s="111"/>
      <c r="D132" s="111"/>
      <c r="E132" s="111"/>
    </row>
    <row r="137" spans="1:5" hidden="1"/>
    <row r="138" spans="1:5" hidden="1"/>
    <row r="139" spans="1:5" hidden="1">
      <c r="A139" s="14"/>
      <c r="B139" s="142"/>
      <c r="C139" s="112"/>
      <c r="D139" s="112"/>
      <c r="E139" s="112"/>
    </row>
    <row r="140" spans="1:5" hidden="1">
      <c r="A140" s="73" t="s">
        <v>121</v>
      </c>
      <c r="B140" s="142"/>
      <c r="C140" s="112"/>
      <c r="D140" s="112"/>
      <c r="E140" s="112"/>
    </row>
    <row r="141" spans="1:5" hidden="1">
      <c r="A141" s="92"/>
      <c r="B141" s="143"/>
      <c r="C141" s="113"/>
      <c r="D141" s="113"/>
      <c r="E141" s="113"/>
    </row>
    <row r="142" spans="1:5" hidden="1">
      <c r="A142" s="74" t="s">
        <v>122</v>
      </c>
      <c r="B142" s="99" t="s">
        <v>123</v>
      </c>
      <c r="C142" s="112"/>
      <c r="D142" s="99" t="s">
        <v>124</v>
      </c>
      <c r="E142" s="112"/>
    </row>
    <row r="143" spans="1:5" hidden="1">
      <c r="A143" s="75"/>
      <c r="B143" s="142"/>
      <c r="C143" s="112"/>
      <c r="D143" s="112"/>
      <c r="E143" s="112"/>
    </row>
    <row r="144" spans="1:5" hidden="1">
      <c r="A144" s="471"/>
      <c r="B144" s="470" t="s">
        <v>125</v>
      </c>
      <c r="C144" s="470" t="s">
        <v>126</v>
      </c>
      <c r="D144" s="470" t="s">
        <v>127</v>
      </c>
      <c r="E144" s="76" t="s">
        <v>128</v>
      </c>
    </row>
    <row r="145" spans="1:5" ht="15" hidden="1" thickBot="1">
      <c r="A145" s="472"/>
      <c r="B145" s="473"/>
      <c r="C145" s="473"/>
      <c r="D145" s="473"/>
      <c r="E145" s="77" t="s">
        <v>129</v>
      </c>
    </row>
    <row r="146" spans="1:5" hidden="1">
      <c r="A146" s="78" t="s">
        <v>130</v>
      </c>
      <c r="B146" s="76">
        <v>0</v>
      </c>
      <c r="C146" s="76">
        <v>0.01</v>
      </c>
      <c r="D146" s="76">
        <v>0.17</v>
      </c>
      <c r="E146" s="114"/>
    </row>
    <row r="147" spans="1:5" hidden="1">
      <c r="A147" s="78" t="s">
        <v>180</v>
      </c>
      <c r="B147" s="149">
        <v>0.03</v>
      </c>
      <c r="C147" s="149">
        <v>0.08</v>
      </c>
      <c r="D147" s="149">
        <v>0.34</v>
      </c>
      <c r="E147" s="149">
        <v>0.11</v>
      </c>
    </row>
    <row r="148" spans="1:5" hidden="1">
      <c r="A148" s="95" t="s">
        <v>181</v>
      </c>
      <c r="B148" s="76"/>
      <c r="C148" s="76"/>
      <c r="D148" s="76">
        <v>0.6</v>
      </c>
      <c r="E148" s="76"/>
    </row>
    <row r="149" spans="1:5" s="72" customFormat="1" ht="20.25" hidden="1" customHeight="1">
      <c r="A149" s="95" t="s">
        <v>182</v>
      </c>
      <c r="B149" s="76">
        <v>4.3600000000000003</v>
      </c>
      <c r="C149" s="76">
        <v>4.3600000000000003</v>
      </c>
      <c r="D149" s="76">
        <v>4.3600000000000003</v>
      </c>
      <c r="E149" s="76"/>
    </row>
    <row r="150" spans="1:5" s="68" customFormat="1" hidden="1">
      <c r="A150" s="93" t="s">
        <v>183</v>
      </c>
      <c r="B150" s="76">
        <v>0.09</v>
      </c>
      <c r="C150" s="76">
        <v>0.09</v>
      </c>
      <c r="D150" s="76">
        <v>0.09</v>
      </c>
      <c r="E150" s="76"/>
    </row>
    <row r="151" spans="1:5" hidden="1">
      <c r="A151" s="96" t="s">
        <v>184</v>
      </c>
      <c r="B151" s="97">
        <v>3.23</v>
      </c>
      <c r="C151" s="97">
        <v>9.31</v>
      </c>
      <c r="D151" s="97">
        <v>9.31</v>
      </c>
      <c r="E151" s="470">
        <v>3.59</v>
      </c>
    </row>
    <row r="152" spans="1:5" ht="28.5" hidden="1" customHeight="1">
      <c r="A152" s="78" t="s">
        <v>185</v>
      </c>
      <c r="B152" s="76">
        <v>0.01</v>
      </c>
      <c r="C152" s="76">
        <v>0.1</v>
      </c>
      <c r="D152" s="76">
        <v>0.48</v>
      </c>
      <c r="E152" s="470"/>
    </row>
    <row r="153" spans="1:5" ht="26.25" hidden="1" customHeight="1">
      <c r="A153" s="78" t="s">
        <v>186</v>
      </c>
      <c r="B153" s="76">
        <v>0</v>
      </c>
      <c r="C153" s="76">
        <v>0.02</v>
      </c>
      <c r="D153" s="76">
        <v>0.19</v>
      </c>
      <c r="E153" s="114"/>
    </row>
    <row r="154" spans="1:5" s="68" customFormat="1" ht="26.25" hidden="1" customHeight="1">
      <c r="A154" s="78" t="s">
        <v>179</v>
      </c>
      <c r="B154" s="76">
        <v>0.01</v>
      </c>
      <c r="C154" s="76">
        <v>0.21</v>
      </c>
      <c r="D154" s="98">
        <v>1.05</v>
      </c>
      <c r="E154" s="98"/>
    </row>
    <row r="155" spans="1:5" ht="27.75" hidden="1" customHeight="1">
      <c r="A155" s="96" t="s">
        <v>178</v>
      </c>
      <c r="B155" s="150">
        <v>1.02</v>
      </c>
      <c r="C155" s="151">
        <v>3.06</v>
      </c>
      <c r="D155" s="151">
        <v>10.199999999999999</v>
      </c>
      <c r="E155" s="150">
        <v>3.56</v>
      </c>
    </row>
    <row r="156" spans="1:5" hidden="1">
      <c r="A156" s="100" t="s">
        <v>187</v>
      </c>
      <c r="B156" s="149">
        <v>0</v>
      </c>
      <c r="C156" s="149">
        <v>0</v>
      </c>
      <c r="D156" s="149">
        <v>0.01</v>
      </c>
      <c r="E156" s="149">
        <v>0.19</v>
      </c>
    </row>
    <row r="157" spans="1:5" ht="18" hidden="1" customHeight="1">
      <c r="A157" s="78" t="s">
        <v>188</v>
      </c>
      <c r="B157" s="114"/>
      <c r="C157" s="114"/>
      <c r="D157" s="76">
        <v>0.27</v>
      </c>
      <c r="E157" s="76"/>
    </row>
    <row r="158" spans="1:5" ht="18" hidden="1" customHeight="1">
      <c r="A158" s="78" t="s">
        <v>131</v>
      </c>
      <c r="B158" s="76">
        <v>0.16</v>
      </c>
      <c r="C158" s="76">
        <v>0.16</v>
      </c>
      <c r="D158" s="114"/>
      <c r="E158" s="114"/>
    </row>
    <row r="159" spans="1:5" ht="18" hidden="1" customHeight="1">
      <c r="A159" s="78" t="s">
        <v>132</v>
      </c>
      <c r="B159" s="76">
        <v>0.44</v>
      </c>
      <c r="C159" s="76">
        <v>0.44</v>
      </c>
      <c r="D159" s="76">
        <v>0.44</v>
      </c>
      <c r="E159" s="114"/>
    </row>
    <row r="160" spans="1:5" ht="18.75" hidden="1" customHeight="1">
      <c r="A160" s="78" t="s">
        <v>133</v>
      </c>
      <c r="B160" s="149">
        <v>1.06</v>
      </c>
      <c r="C160" s="149">
        <v>3.15</v>
      </c>
      <c r="D160" s="149">
        <v>10.7</v>
      </c>
      <c r="E160" s="149">
        <v>3.75</v>
      </c>
    </row>
    <row r="161" spans="1:5" ht="15" hidden="1" thickBot="1">
      <c r="A161" s="154" t="s">
        <v>44</v>
      </c>
      <c r="B161" s="155">
        <v>9.36</v>
      </c>
      <c r="C161" s="155">
        <v>17.84</v>
      </c>
      <c r="D161" s="155">
        <v>26.89</v>
      </c>
      <c r="E161" s="156"/>
    </row>
    <row r="162" spans="1:5" hidden="1">
      <c r="A162" s="79"/>
      <c r="B162" s="152">
        <f>SUM(B146:B159)</f>
        <v>9.35</v>
      </c>
      <c r="C162" s="153">
        <f>SUM(C146:C159)</f>
        <v>17.840000000000003</v>
      </c>
      <c r="D162" s="153">
        <f>SUM(D146:D159)</f>
        <v>27.51</v>
      </c>
      <c r="E162" s="153">
        <f>SUM(E146:E159)</f>
        <v>7.45</v>
      </c>
    </row>
    <row r="163" spans="1:5" hidden="1">
      <c r="A163" s="79"/>
      <c r="B163" s="142"/>
      <c r="C163" s="112"/>
      <c r="D163" s="112"/>
      <c r="E163" s="112"/>
    </row>
    <row r="164" spans="1:5" hidden="1"/>
    <row r="165" spans="1:5" hidden="1">
      <c r="A165" s="10" t="s">
        <v>134</v>
      </c>
      <c r="B165" s="139"/>
      <c r="C165" s="13"/>
      <c r="D165" s="13"/>
      <c r="E165" s="13"/>
    </row>
    <row r="166" spans="1:5" hidden="1">
      <c r="A166" s="10"/>
      <c r="B166" s="139"/>
      <c r="C166" s="13"/>
      <c r="D166" s="13"/>
      <c r="E166" s="13"/>
    </row>
    <row r="167" spans="1:5" hidden="1">
      <c r="A167" s="10" t="s">
        <v>135</v>
      </c>
      <c r="B167" s="144" t="s">
        <v>136</v>
      </c>
      <c r="C167" s="128" t="s">
        <v>137</v>
      </c>
      <c r="D167" s="29" t="s">
        <v>138</v>
      </c>
      <c r="E167" s="29" t="s">
        <v>139</v>
      </c>
    </row>
    <row r="168" spans="1:5" hidden="1">
      <c r="A168" s="10"/>
      <c r="B168" s="139"/>
      <c r="C168" s="13"/>
      <c r="D168" s="13"/>
      <c r="E168" s="13"/>
    </row>
    <row r="169" spans="1:5" hidden="1">
      <c r="A169" s="10" t="s">
        <v>140</v>
      </c>
      <c r="B169" s="145">
        <v>2.82</v>
      </c>
      <c r="C169" s="115">
        <v>5.64</v>
      </c>
      <c r="D169" s="115">
        <v>8.4600000000000009</v>
      </c>
      <c r="E169" s="115">
        <v>11.28</v>
      </c>
    </row>
    <row r="170" spans="1:5" hidden="1"/>
    <row r="172" spans="1:5">
      <c r="A172" s="7" t="s">
        <v>42</v>
      </c>
      <c r="B172" s="146">
        <v>100000</v>
      </c>
      <c r="C172" s="109" t="s">
        <v>35</v>
      </c>
    </row>
    <row r="173" spans="1:5">
      <c r="A173" s="8" t="s">
        <v>40</v>
      </c>
      <c r="B173" s="147">
        <v>0.29299999999999998</v>
      </c>
      <c r="C173" s="109" t="s">
        <v>41</v>
      </c>
    </row>
    <row r="174" spans="1:5">
      <c r="A174" s="9" t="s">
        <v>31</v>
      </c>
      <c r="B174" s="148">
        <v>2.9300000000000002E-4</v>
      </c>
      <c r="C174" s="67" t="s">
        <v>32</v>
      </c>
    </row>
  </sheetData>
  <mergeCells count="44">
    <mergeCell ref="F14:H14"/>
    <mergeCell ref="E151:E152"/>
    <mergeCell ref="A81:E81"/>
    <mergeCell ref="A83:E83"/>
    <mergeCell ref="A144:A145"/>
    <mergeCell ref="B144:B145"/>
    <mergeCell ref="C144:C145"/>
    <mergeCell ref="D144:D145"/>
    <mergeCell ref="A82:E82"/>
    <mergeCell ref="A80:E80"/>
    <mergeCell ref="A18:D18"/>
    <mergeCell ref="A19:D19"/>
    <mergeCell ref="A34:E34"/>
    <mergeCell ref="A35:E35"/>
    <mergeCell ref="A36:E36"/>
    <mergeCell ref="A38:E38"/>
    <mergeCell ref="A69:E69"/>
    <mergeCell ref="A70:E70"/>
    <mergeCell ref="D77:E77"/>
    <mergeCell ref="A78:B78"/>
    <mergeCell ref="A21:D21"/>
    <mergeCell ref="A29:B29"/>
    <mergeCell ref="A30:B30"/>
    <mergeCell ref="A31:B31"/>
    <mergeCell ref="A32:B32"/>
    <mergeCell ref="A33:B33"/>
    <mergeCell ref="A1:E1"/>
    <mergeCell ref="A4:E4"/>
    <mergeCell ref="A5:E5"/>
    <mergeCell ref="A8:E8"/>
    <mergeCell ref="A9:E9"/>
    <mergeCell ref="A6:E6"/>
    <mergeCell ref="A7:E7"/>
    <mergeCell ref="A20:E20"/>
    <mergeCell ref="A17:D17"/>
    <mergeCell ref="A23:E23"/>
    <mergeCell ref="A22:E22"/>
    <mergeCell ref="A24:E24"/>
    <mergeCell ref="A16:D16"/>
    <mergeCell ref="A11:E11"/>
    <mergeCell ref="A12:E12"/>
    <mergeCell ref="A13:E13"/>
    <mergeCell ref="A14:E14"/>
    <mergeCell ref="A15:E15"/>
  </mergeCells>
  <hyperlinks>
    <hyperlink ref="E88" r:id="rId1"/>
  </hyperlinks>
  <pageMargins left="0.2" right="0.2" top="0.25" bottom="0.25" header="0.3" footer="0.3"/>
  <pageSetup scale="55" fitToHeight="0" orientation="portrait" r:id="rId2"/>
  <ignoredErrors>
    <ignoredError sqref="B162:C162 E162 D162" formulaRange="1"/>
  </ignoredErrors>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28"/>
  <sheetViews>
    <sheetView topLeftCell="C1" workbookViewId="0">
      <selection activeCell="H12" sqref="H12"/>
    </sheetView>
  </sheetViews>
  <sheetFormatPr defaultRowHeight="14.4"/>
  <cols>
    <col min="2" max="2" width="20.6640625" customWidth="1"/>
    <col min="3" max="3" width="16" customWidth="1"/>
    <col min="4" max="4" width="14.5546875" customWidth="1"/>
    <col min="5" max="5" width="13.33203125" style="19" customWidth="1"/>
    <col min="6" max="6" width="12.33203125" customWidth="1"/>
    <col min="7" max="7" width="14.6640625" customWidth="1"/>
    <col min="8" max="8" width="15" customWidth="1"/>
    <col min="9" max="9" width="13.6640625" customWidth="1"/>
    <col min="10" max="10" width="10.88671875" customWidth="1"/>
  </cols>
  <sheetData>
    <row r="2" spans="2:16" ht="31.2" customHeight="1">
      <c r="B2" s="479" t="s">
        <v>317</v>
      </c>
      <c r="C2" s="479"/>
      <c r="D2" s="479"/>
      <c r="E2" s="479"/>
      <c r="F2" s="479"/>
      <c r="L2" s="477" t="s">
        <v>318</v>
      </c>
      <c r="M2" s="478"/>
      <c r="N2" s="478"/>
      <c r="O2" s="478"/>
      <c r="P2" s="478"/>
    </row>
    <row r="3" spans="2:16" ht="36.75" customHeight="1">
      <c r="B3" s="481" t="s">
        <v>305</v>
      </c>
      <c r="C3" s="482"/>
      <c r="D3" s="485" t="s">
        <v>303</v>
      </c>
      <c r="E3" s="486"/>
      <c r="F3" s="486"/>
      <c r="L3" s="51"/>
      <c r="M3" s="286">
        <v>0.03</v>
      </c>
      <c r="N3" s="286">
        <v>0.04</v>
      </c>
      <c r="O3" s="286">
        <v>4.4999999999999998E-2</v>
      </c>
      <c r="P3" s="286">
        <v>0.05</v>
      </c>
    </row>
    <row r="4" spans="2:16" ht="36.75" customHeight="1">
      <c r="B4" s="481" t="s">
        <v>306</v>
      </c>
      <c r="C4" s="482"/>
      <c r="D4" s="485" t="s">
        <v>304</v>
      </c>
      <c r="E4" s="486"/>
      <c r="F4" s="486"/>
      <c r="L4" s="51"/>
      <c r="M4" s="287"/>
      <c r="N4" s="287"/>
      <c r="O4" s="287"/>
      <c r="P4" s="287"/>
    </row>
    <row r="5" spans="2:16" ht="24" customHeight="1">
      <c r="B5" s="481" t="s">
        <v>307</v>
      </c>
      <c r="C5" s="482"/>
      <c r="D5" s="483"/>
      <c r="E5" s="484"/>
      <c r="F5" s="55"/>
      <c r="L5" s="51">
        <v>1</v>
      </c>
      <c r="M5" s="288">
        <f>1+M3</f>
        <v>1.03</v>
      </c>
      <c r="N5" s="288">
        <f>1+N3</f>
        <v>1.04</v>
      </c>
      <c r="O5" s="288">
        <f>1+O3</f>
        <v>1.0449999999999999</v>
      </c>
      <c r="P5" s="288">
        <f>1+P3</f>
        <v>1.05</v>
      </c>
    </row>
    <row r="6" spans="2:16" ht="22.5" customHeight="1">
      <c r="B6" s="480" t="s">
        <v>308</v>
      </c>
      <c r="C6" s="480"/>
      <c r="D6" s="480"/>
      <c r="E6" s="480"/>
      <c r="F6" s="480"/>
      <c r="L6" s="51">
        <v>2</v>
      </c>
      <c r="M6" s="287">
        <f t="shared" ref="M6:M24" si="0">$M$5^$L6</f>
        <v>1.0609</v>
      </c>
      <c r="N6" s="287">
        <f t="shared" ref="N6:N24" si="1">$N$5^$L6</f>
        <v>1.0816000000000001</v>
      </c>
      <c r="O6" s="287">
        <f t="shared" ref="O6:O24" si="2">$O$5^$L6</f>
        <v>1.0920249999999998</v>
      </c>
      <c r="P6" s="287">
        <f t="shared" ref="P6:P24" si="3">$P$5^$L6</f>
        <v>1.1025</v>
      </c>
    </row>
    <row r="7" spans="2:16" ht="23.4" thickBot="1">
      <c r="B7" s="56" t="s">
        <v>0</v>
      </c>
      <c r="C7" s="57" t="s">
        <v>1</v>
      </c>
      <c r="D7" s="57" t="s">
        <v>2</v>
      </c>
      <c r="E7" s="58" t="s">
        <v>3</v>
      </c>
      <c r="F7" s="59" t="s">
        <v>4</v>
      </c>
      <c r="H7" s="265" t="s">
        <v>194</v>
      </c>
      <c r="I7" s="265" t="s">
        <v>195</v>
      </c>
      <c r="L7" s="51">
        <v>3</v>
      </c>
      <c r="M7" s="287">
        <f t="shared" si="0"/>
        <v>1.092727</v>
      </c>
      <c r="N7" s="287">
        <f t="shared" si="1"/>
        <v>1.1248640000000001</v>
      </c>
      <c r="O7" s="287">
        <f t="shared" si="2"/>
        <v>1.1411661249999998</v>
      </c>
      <c r="P7" s="287">
        <f t="shared" si="3"/>
        <v>1.1576250000000001</v>
      </c>
    </row>
    <row r="8" spans="2:16" ht="15" thickBot="1">
      <c r="B8" s="263">
        <v>43131</v>
      </c>
      <c r="C8" s="291" t="s">
        <v>18</v>
      </c>
      <c r="D8" s="291" t="s">
        <v>19</v>
      </c>
      <c r="E8" s="60" t="s">
        <v>7</v>
      </c>
      <c r="F8" s="61">
        <v>1521.9</v>
      </c>
      <c r="H8" s="284">
        <v>3830.09</v>
      </c>
      <c r="I8" s="284">
        <v>12795.11</v>
      </c>
      <c r="L8" s="51">
        <v>4</v>
      </c>
      <c r="M8" s="287">
        <f t="shared" si="0"/>
        <v>1.1255088099999999</v>
      </c>
      <c r="N8" s="287">
        <f t="shared" si="1"/>
        <v>1.1698585600000002</v>
      </c>
      <c r="O8" s="287">
        <f t="shared" si="2"/>
        <v>1.1925186006249995</v>
      </c>
      <c r="P8" s="287">
        <f t="shared" si="3"/>
        <v>1.21550625</v>
      </c>
    </row>
    <row r="9" spans="2:16" ht="15" thickBot="1">
      <c r="B9" s="263">
        <v>43159</v>
      </c>
      <c r="C9" s="291" t="s">
        <v>20</v>
      </c>
      <c r="D9" s="291" t="s">
        <v>21</v>
      </c>
      <c r="E9" s="60" t="s">
        <v>7</v>
      </c>
      <c r="F9" s="61">
        <v>1717.01</v>
      </c>
      <c r="H9" s="266" t="s">
        <v>49</v>
      </c>
      <c r="I9" s="266" t="s">
        <v>196</v>
      </c>
      <c r="L9" s="51">
        <v>5</v>
      </c>
      <c r="M9" s="287">
        <f t="shared" si="0"/>
        <v>1.1592740742999998</v>
      </c>
      <c r="N9" s="287">
        <f t="shared" si="1"/>
        <v>1.2166529024000003</v>
      </c>
      <c r="O9" s="287">
        <f t="shared" si="2"/>
        <v>1.2461819376531245</v>
      </c>
      <c r="P9" s="287">
        <f t="shared" si="3"/>
        <v>1.2762815625000001</v>
      </c>
    </row>
    <row r="10" spans="2:16" ht="15" thickBot="1">
      <c r="B10" s="263">
        <v>43190</v>
      </c>
      <c r="C10" s="291" t="s">
        <v>22</v>
      </c>
      <c r="D10" s="291" t="s">
        <v>23</v>
      </c>
      <c r="E10" s="60" t="s">
        <v>7</v>
      </c>
      <c r="F10" s="61">
        <v>1589.93</v>
      </c>
      <c r="H10" s="293">
        <v>5196</v>
      </c>
      <c r="I10" s="293">
        <v>72040</v>
      </c>
      <c r="L10" s="51">
        <v>6</v>
      </c>
      <c r="M10" s="287">
        <f t="shared" si="0"/>
        <v>1.1940522965289999</v>
      </c>
      <c r="N10" s="287">
        <f t="shared" si="1"/>
        <v>1.2653190184960004</v>
      </c>
      <c r="O10" s="287">
        <f t="shared" si="2"/>
        <v>1.3022601248475147</v>
      </c>
      <c r="P10" s="287">
        <f t="shared" si="3"/>
        <v>1.340095640625</v>
      </c>
    </row>
    <row r="11" spans="2:16" ht="15" thickBot="1">
      <c r="B11" s="263">
        <v>43220</v>
      </c>
      <c r="C11" s="291" t="s">
        <v>24</v>
      </c>
      <c r="D11" s="291" t="s">
        <v>25</v>
      </c>
      <c r="E11" s="60" t="s">
        <v>7</v>
      </c>
      <c r="F11" s="61">
        <v>1041.0999999999999</v>
      </c>
      <c r="L11" s="51">
        <v>7</v>
      </c>
      <c r="M11" s="287">
        <f t="shared" si="0"/>
        <v>1.22987386542487</v>
      </c>
      <c r="N11" s="287">
        <f t="shared" si="1"/>
        <v>1.3159317792358403</v>
      </c>
      <c r="O11" s="287">
        <f t="shared" si="2"/>
        <v>1.360861830465653</v>
      </c>
      <c r="P11" s="287">
        <f t="shared" si="3"/>
        <v>1.4071004226562502</v>
      </c>
    </row>
    <row r="12" spans="2:16" ht="15" thickBot="1">
      <c r="B12" s="263">
        <v>43251</v>
      </c>
      <c r="C12" s="291" t="s">
        <v>26</v>
      </c>
      <c r="D12" s="291" t="s">
        <v>27</v>
      </c>
      <c r="E12" s="60" t="s">
        <v>7</v>
      </c>
      <c r="F12" s="61">
        <v>1459.54</v>
      </c>
      <c r="L12" s="51">
        <v>8</v>
      </c>
      <c r="M12" s="287">
        <f t="shared" si="0"/>
        <v>1.2667700813876159</v>
      </c>
      <c r="N12" s="287">
        <f t="shared" si="1"/>
        <v>1.3685690504052741</v>
      </c>
      <c r="O12" s="287">
        <f t="shared" si="2"/>
        <v>1.4221006128366069</v>
      </c>
      <c r="P12" s="287">
        <f t="shared" si="3"/>
        <v>1.4774554437890626</v>
      </c>
    </row>
    <row r="13" spans="2:16" ht="15" thickBot="1">
      <c r="B13" s="263">
        <v>43281</v>
      </c>
      <c r="C13" s="291" t="s">
        <v>28</v>
      </c>
      <c r="D13" s="291" t="s">
        <v>29</v>
      </c>
      <c r="E13" s="60" t="s">
        <v>7</v>
      </c>
      <c r="F13" s="61">
        <v>1379.64</v>
      </c>
      <c r="L13" s="51">
        <v>9</v>
      </c>
      <c r="M13" s="287">
        <f t="shared" si="0"/>
        <v>1.3047731838292445</v>
      </c>
      <c r="N13" s="287">
        <f t="shared" si="1"/>
        <v>1.4233118124214852</v>
      </c>
      <c r="O13" s="287">
        <f t="shared" si="2"/>
        <v>1.4860951404142542</v>
      </c>
      <c r="P13" s="287">
        <f t="shared" si="3"/>
        <v>1.5513282159785158</v>
      </c>
    </row>
    <row r="14" spans="2:16" ht="15" thickBot="1">
      <c r="B14" s="263">
        <v>43312</v>
      </c>
      <c r="C14" s="291" t="s">
        <v>5</v>
      </c>
      <c r="D14" s="291" t="s">
        <v>6</v>
      </c>
      <c r="E14" s="60" t="s">
        <v>7</v>
      </c>
      <c r="F14" s="61">
        <v>1390.58</v>
      </c>
      <c r="L14" s="51">
        <v>10</v>
      </c>
      <c r="M14" s="287">
        <f t="shared" si="0"/>
        <v>1.3439163793441218</v>
      </c>
      <c r="N14" s="287">
        <f t="shared" si="1"/>
        <v>1.4802442849183446</v>
      </c>
      <c r="O14" s="287">
        <f t="shared" si="2"/>
        <v>1.5529694217328953</v>
      </c>
      <c r="P14" s="287">
        <f t="shared" si="3"/>
        <v>1.6288946267774416</v>
      </c>
    </row>
    <row r="15" spans="2:16" ht="15" thickBot="1">
      <c r="B15" s="263">
        <v>43343</v>
      </c>
      <c r="C15" s="291" t="s">
        <v>8</v>
      </c>
      <c r="D15" s="291" t="s">
        <v>9</v>
      </c>
      <c r="E15" s="60" t="s">
        <v>7</v>
      </c>
      <c r="F15" s="61">
        <v>1451.86</v>
      </c>
      <c r="L15" s="51">
        <v>11</v>
      </c>
      <c r="M15" s="287">
        <f t="shared" si="0"/>
        <v>1.3842338707244455</v>
      </c>
      <c r="N15" s="287">
        <f t="shared" si="1"/>
        <v>1.5394540563150783</v>
      </c>
      <c r="O15" s="287">
        <f t="shared" si="2"/>
        <v>1.6228530457108756</v>
      </c>
      <c r="P15" s="287">
        <f t="shared" si="3"/>
        <v>1.7103393581163138</v>
      </c>
    </row>
    <row r="16" spans="2:16" ht="15" thickBot="1">
      <c r="B16" s="263">
        <v>43373</v>
      </c>
      <c r="C16" s="291" t="s">
        <v>10</v>
      </c>
      <c r="D16" s="291" t="s">
        <v>11</v>
      </c>
      <c r="E16" s="60" t="s">
        <v>7</v>
      </c>
      <c r="F16" s="61">
        <v>1234.71</v>
      </c>
      <c r="L16" s="51">
        <v>12</v>
      </c>
      <c r="M16" s="287">
        <f t="shared" si="0"/>
        <v>1.4257608868461786</v>
      </c>
      <c r="N16" s="287">
        <f t="shared" si="1"/>
        <v>1.6010322185676817</v>
      </c>
      <c r="O16" s="287">
        <f t="shared" si="2"/>
        <v>1.6958814327678646</v>
      </c>
      <c r="P16" s="287">
        <f t="shared" si="3"/>
        <v>1.7958563260221292</v>
      </c>
    </row>
    <row r="17" spans="2:16" ht="15" thickBot="1">
      <c r="B17" s="263">
        <v>43404</v>
      </c>
      <c r="C17" s="291" t="s">
        <v>12</v>
      </c>
      <c r="D17" s="291" t="s">
        <v>13</v>
      </c>
      <c r="E17" s="60" t="s">
        <v>7</v>
      </c>
      <c r="F17" s="61">
        <v>1057.43</v>
      </c>
      <c r="L17" s="51">
        <v>13</v>
      </c>
      <c r="M17" s="287">
        <f t="shared" si="0"/>
        <v>1.4685337134515639</v>
      </c>
      <c r="N17" s="287">
        <f t="shared" si="1"/>
        <v>1.6650735073103891</v>
      </c>
      <c r="O17" s="287">
        <f t="shared" si="2"/>
        <v>1.7721960972424187</v>
      </c>
      <c r="P17" s="287">
        <f t="shared" si="3"/>
        <v>1.885649142323236</v>
      </c>
    </row>
    <row r="18" spans="2:16" ht="15" thickBot="1">
      <c r="B18" s="263">
        <v>43434</v>
      </c>
      <c r="C18" s="291" t="s">
        <v>14</v>
      </c>
      <c r="D18" s="291" t="s">
        <v>15</v>
      </c>
      <c r="E18" s="60" t="s">
        <v>7</v>
      </c>
      <c r="F18" s="61">
        <v>1147.82</v>
      </c>
      <c r="L18" s="51">
        <v>14</v>
      </c>
      <c r="M18" s="287">
        <f t="shared" si="0"/>
        <v>1.512589724855111</v>
      </c>
      <c r="N18" s="287">
        <f t="shared" si="1"/>
        <v>1.7316764476028046</v>
      </c>
      <c r="O18" s="287">
        <f t="shared" si="2"/>
        <v>1.851944921618327</v>
      </c>
      <c r="P18" s="287">
        <f t="shared" si="3"/>
        <v>1.9799315994393973</v>
      </c>
    </row>
    <row r="19" spans="2:16" ht="15" thickBot="1">
      <c r="B19" s="263">
        <v>43465</v>
      </c>
      <c r="C19" s="292" t="s">
        <v>16</v>
      </c>
      <c r="D19" s="292" t="s">
        <v>17</v>
      </c>
      <c r="E19" s="62" t="s">
        <v>7</v>
      </c>
      <c r="F19" s="63">
        <v>1633.68</v>
      </c>
      <c r="L19" s="51">
        <v>15</v>
      </c>
      <c r="M19" s="287">
        <f t="shared" si="0"/>
        <v>1.5579674166007644</v>
      </c>
      <c r="N19" s="287">
        <f t="shared" si="1"/>
        <v>1.8009435055069167</v>
      </c>
      <c r="O19" s="287">
        <f t="shared" si="2"/>
        <v>1.9352824430911519</v>
      </c>
      <c r="P19" s="287">
        <f t="shared" si="3"/>
        <v>2.0789281794113679</v>
      </c>
    </row>
    <row r="20" spans="2:16">
      <c r="C20" s="64">
        <v>3830.09</v>
      </c>
      <c r="D20" s="64">
        <v>12795.11</v>
      </c>
      <c r="E20" s="65" t="s">
        <v>30</v>
      </c>
      <c r="F20" s="164">
        <v>16625.2</v>
      </c>
      <c r="L20" s="51">
        <v>16</v>
      </c>
      <c r="M20" s="287">
        <f t="shared" si="0"/>
        <v>1.6047064390987871</v>
      </c>
      <c r="N20" s="287">
        <f t="shared" si="1"/>
        <v>1.8729812457271937</v>
      </c>
      <c r="O20" s="287">
        <f t="shared" si="2"/>
        <v>2.0223701530302529</v>
      </c>
      <c r="P20" s="287">
        <f t="shared" si="3"/>
        <v>2.182874588381936</v>
      </c>
    </row>
    <row r="21" spans="2:16" ht="17.25" customHeight="1">
      <c r="C21" s="264"/>
      <c r="D21" s="264"/>
      <c r="E21" s="165" t="s">
        <v>193</v>
      </c>
      <c r="F21" s="166">
        <f>AVERAGE(F8:F19)</f>
        <v>1385.4333333333334</v>
      </c>
      <c r="L21" s="51">
        <v>17</v>
      </c>
      <c r="M21" s="287">
        <f t="shared" si="0"/>
        <v>1.6528476322717507</v>
      </c>
      <c r="N21" s="287">
        <f t="shared" si="1"/>
        <v>1.9479004955562815</v>
      </c>
      <c r="O21" s="287">
        <f t="shared" si="2"/>
        <v>2.1133768099166144</v>
      </c>
      <c r="P21" s="287">
        <f t="shared" si="3"/>
        <v>2.2920183178010332</v>
      </c>
    </row>
    <row r="22" spans="2:16">
      <c r="L22" s="51">
        <v>18</v>
      </c>
      <c r="M22" s="287">
        <f t="shared" si="0"/>
        <v>1.7024330612399032</v>
      </c>
      <c r="N22" s="287">
        <f t="shared" si="1"/>
        <v>2.025816515378533</v>
      </c>
      <c r="O22" s="287">
        <f t="shared" si="2"/>
        <v>2.2084787663628616</v>
      </c>
      <c r="P22" s="287">
        <f t="shared" si="3"/>
        <v>2.4066192336910848</v>
      </c>
    </row>
    <row r="23" spans="2:16">
      <c r="L23" s="51">
        <v>19</v>
      </c>
      <c r="M23" s="287">
        <f t="shared" si="0"/>
        <v>1.7535060530771003</v>
      </c>
      <c r="N23" s="287">
        <f t="shared" si="1"/>
        <v>2.1068491759936743</v>
      </c>
      <c r="O23" s="287">
        <f t="shared" si="2"/>
        <v>2.3078603108491902</v>
      </c>
      <c r="P23" s="287">
        <f t="shared" si="3"/>
        <v>2.526950195375639</v>
      </c>
    </row>
    <row r="24" spans="2:16">
      <c r="L24" s="51">
        <v>20</v>
      </c>
      <c r="M24" s="287">
        <f t="shared" si="0"/>
        <v>1.8061112346694133</v>
      </c>
      <c r="N24" s="287">
        <f t="shared" si="1"/>
        <v>2.1911231430334213</v>
      </c>
      <c r="O24" s="287">
        <f t="shared" si="2"/>
        <v>2.4117140248374032</v>
      </c>
      <c r="P24" s="287">
        <f t="shared" si="3"/>
        <v>2.6532977051444209</v>
      </c>
    </row>
    <row r="25" spans="2:16">
      <c r="L25" s="51"/>
      <c r="M25" s="287">
        <f>SUM(M4:M24)</f>
        <v>27.676485723649872</v>
      </c>
      <c r="N25" s="287">
        <f>SUM(N4:N24)</f>
        <v>30.96920171886892</v>
      </c>
      <c r="O25" s="287">
        <f>SUM(O4:O24)</f>
        <v>32.783136799002001</v>
      </c>
      <c r="P25" s="287">
        <f>SUM(P4:P24)</f>
        <v>34.719251808032823</v>
      </c>
    </row>
    <row r="26" spans="2:16">
      <c r="L26" s="51"/>
      <c r="M26" s="287">
        <f>M25/$L$24</f>
        <v>1.3838242861824936</v>
      </c>
      <c r="N26" s="287">
        <f>N25/$L$24</f>
        <v>1.5484600859434461</v>
      </c>
      <c r="O26" s="287">
        <f>O25/L24</f>
        <v>1.6391568399501</v>
      </c>
      <c r="P26" s="287">
        <f>P25/L24</f>
        <v>1.7359625904016411</v>
      </c>
    </row>
    <row r="27" spans="2:16">
      <c r="L27" s="267"/>
      <c r="M27" s="285">
        <f>M3</f>
        <v>0.03</v>
      </c>
      <c r="N27" s="285">
        <f t="shared" ref="N27:P27" si="4">N3</f>
        <v>0.04</v>
      </c>
      <c r="O27" s="285">
        <f t="shared" si="4"/>
        <v>4.4999999999999998E-2</v>
      </c>
      <c r="P27" s="285">
        <f t="shared" si="4"/>
        <v>0.05</v>
      </c>
    </row>
    <row r="28" spans="2:16" ht="28.2" customHeight="1">
      <c r="L28" s="289" t="s">
        <v>316</v>
      </c>
      <c r="M28" s="290">
        <f>AVERAGE(M5:M24)</f>
        <v>1.3838242861824936</v>
      </c>
      <c r="N28" s="290">
        <f>AVERAGE(N5:N24)</f>
        <v>1.5484600859434461</v>
      </c>
      <c r="O28" s="290">
        <f>AVERAGE(O5:O24)</f>
        <v>1.6391568399501</v>
      </c>
      <c r="P28" s="290">
        <f>AVERAGE(P5:P24)</f>
        <v>1.7359625904016411</v>
      </c>
    </row>
  </sheetData>
  <sortState ref="B8:F19">
    <sortCondition ref="B8:B19"/>
  </sortState>
  <mergeCells count="9">
    <mergeCell ref="L2:P2"/>
    <mergeCell ref="B2:F2"/>
    <mergeCell ref="B6:F6"/>
    <mergeCell ref="B3:C3"/>
    <mergeCell ref="B4:C4"/>
    <mergeCell ref="B5:C5"/>
    <mergeCell ref="D5:E5"/>
    <mergeCell ref="D3:F3"/>
    <mergeCell ref="D4:F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workbookViewId="0"/>
  </sheetViews>
  <sheetFormatPr defaultRowHeight="14.4"/>
  <cols>
    <col min="2" max="2" width="15.5546875" customWidth="1"/>
    <col min="3" max="3" width="10.109375" bestFit="1" customWidth="1"/>
  </cols>
  <sheetData>
    <row r="1" spans="1:7">
      <c r="A1" s="6"/>
      <c r="B1" s="6"/>
      <c r="C1" s="6"/>
      <c r="D1" s="6"/>
      <c r="E1" s="6"/>
      <c r="F1" s="6"/>
      <c r="G1" s="6"/>
    </row>
    <row r="2" spans="1:7" ht="15.6">
      <c r="A2" s="24" t="s">
        <v>53</v>
      </c>
      <c r="B2" s="6"/>
      <c r="C2" s="6"/>
      <c r="D2" s="6"/>
      <c r="E2" s="6"/>
      <c r="F2" s="6"/>
      <c r="G2" s="6"/>
    </row>
    <row r="3" spans="1:7" ht="15.6">
      <c r="A3" s="6"/>
      <c r="B3" s="30" t="s">
        <v>37</v>
      </c>
      <c r="C3" s="6"/>
      <c r="D3" s="6"/>
      <c r="E3" s="6"/>
      <c r="F3" s="6"/>
      <c r="G3" s="6"/>
    </row>
    <row r="4" spans="1:7" ht="15.6">
      <c r="A4" s="6"/>
      <c r="B4" s="31" t="s">
        <v>38</v>
      </c>
      <c r="C4" s="6"/>
      <c r="D4" s="6"/>
      <c r="E4" s="6"/>
      <c r="F4" s="6"/>
      <c r="G4" s="6"/>
    </row>
    <row r="5" spans="1:7">
      <c r="A5" s="6"/>
      <c r="B5" s="6" t="s">
        <v>39</v>
      </c>
      <c r="C5" s="6"/>
      <c r="D5" s="6"/>
      <c r="E5" s="6"/>
      <c r="F5" s="6"/>
      <c r="G5" s="6"/>
    </row>
    <row r="6" spans="1:7">
      <c r="A6" s="6"/>
      <c r="B6" s="6" t="s">
        <v>52</v>
      </c>
      <c r="C6" s="6"/>
      <c r="D6" s="6"/>
      <c r="E6" s="6"/>
      <c r="F6" s="6"/>
      <c r="G6" s="6"/>
    </row>
    <row r="7" spans="1:7">
      <c r="A7" s="6"/>
      <c r="B7" s="6">
        <v>5195</v>
      </c>
      <c r="C7" s="6" t="s">
        <v>60</v>
      </c>
      <c r="D7" s="6"/>
      <c r="E7" s="6"/>
      <c r="F7" s="6"/>
      <c r="G7" s="6"/>
    </row>
    <row r="8" spans="1:7">
      <c r="A8" s="6"/>
      <c r="B8" s="20">
        <f>B7*0.18</f>
        <v>935.09999999999991</v>
      </c>
      <c r="C8" s="6" t="s">
        <v>61</v>
      </c>
      <c r="D8" s="6"/>
      <c r="E8" s="6"/>
      <c r="F8" s="6"/>
      <c r="G8" s="6"/>
    </row>
    <row r="9" spans="1:7">
      <c r="A9" s="6"/>
      <c r="B9" s="6">
        <v>20</v>
      </c>
      <c r="C9" s="6" t="s">
        <v>58</v>
      </c>
      <c r="D9" s="6"/>
      <c r="E9" s="6"/>
      <c r="F9" s="6"/>
      <c r="G9" s="6"/>
    </row>
    <row r="10" spans="1:7">
      <c r="A10" s="6"/>
      <c r="B10" s="22">
        <f>B9*B8</f>
        <v>18702</v>
      </c>
      <c r="C10" s="6" t="s">
        <v>59</v>
      </c>
      <c r="D10" s="6"/>
      <c r="E10" s="6"/>
      <c r="F10" s="6"/>
      <c r="G10" s="6"/>
    </row>
    <row r="12" spans="1:7">
      <c r="A12" s="17"/>
      <c r="B12" s="17"/>
      <c r="C12" s="17"/>
      <c r="D12" s="17"/>
      <c r="E12" s="17"/>
      <c r="F12" s="17"/>
      <c r="G12" s="17"/>
    </row>
    <row r="13" spans="1:7" ht="15.6">
      <c r="A13" s="18" t="s">
        <v>55</v>
      </c>
      <c r="B13" s="17"/>
      <c r="C13" s="17"/>
      <c r="D13" s="17"/>
      <c r="E13" s="17"/>
      <c r="F13" s="17"/>
      <c r="G13" s="17"/>
    </row>
    <row r="14" spans="1:7">
      <c r="A14" s="17"/>
      <c r="B14" s="17" t="s">
        <v>54</v>
      </c>
      <c r="C14" s="17"/>
      <c r="D14" s="17"/>
      <c r="E14" s="17"/>
      <c r="F14" s="17"/>
      <c r="G14" s="17"/>
    </row>
    <row r="15" spans="1:7">
      <c r="A15" s="17"/>
      <c r="B15" s="17">
        <v>72040</v>
      </c>
      <c r="C15" s="17" t="s">
        <v>33</v>
      </c>
      <c r="D15" s="17" t="s">
        <v>56</v>
      </c>
      <c r="E15" s="17"/>
      <c r="F15" s="17"/>
      <c r="G15" s="17"/>
    </row>
    <row r="16" spans="1:7">
      <c r="A16" s="17"/>
      <c r="B16" s="17">
        <f>B15*2</f>
        <v>144080</v>
      </c>
      <c r="C16" s="17" t="s">
        <v>57</v>
      </c>
      <c r="D16" s="17"/>
      <c r="E16" s="17"/>
      <c r="F16" s="17"/>
      <c r="G16" s="17"/>
    </row>
    <row r="17" spans="1:7">
      <c r="A17" s="17"/>
      <c r="B17" s="17">
        <v>20</v>
      </c>
      <c r="C17" s="17" t="s">
        <v>58</v>
      </c>
      <c r="D17" s="17"/>
      <c r="E17" s="17"/>
      <c r="F17" s="17"/>
      <c r="G17" s="17"/>
    </row>
    <row r="18" spans="1:7">
      <c r="A18" s="17"/>
      <c r="B18" s="27">
        <f>B17*B16</f>
        <v>2881600</v>
      </c>
      <c r="C18" s="17" t="s">
        <v>59</v>
      </c>
      <c r="D18" s="17"/>
      <c r="E18" s="17"/>
      <c r="F18" s="17"/>
      <c r="G18" s="17"/>
    </row>
    <row r="19" spans="1:7">
      <c r="A19" s="17"/>
      <c r="B19" s="17"/>
      <c r="C19" s="17"/>
      <c r="D19" s="17"/>
      <c r="E19" s="17"/>
      <c r="F19" s="17"/>
      <c r="G19" s="17"/>
    </row>
    <row r="21" spans="1:7" ht="15.6">
      <c r="A21" s="32" t="s">
        <v>62</v>
      </c>
      <c r="B21" s="32"/>
      <c r="C21" s="33">
        <f>B18+B10</f>
        <v>2900302</v>
      </c>
      <c r="D21" s="32" t="s">
        <v>63</v>
      </c>
      <c r="E21" s="32"/>
      <c r="F21" s="32"/>
      <c r="G21" s="3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19"/>
  <sheetViews>
    <sheetView topLeftCell="A10" workbookViewId="0">
      <selection activeCell="B9" sqref="B9"/>
    </sheetView>
  </sheetViews>
  <sheetFormatPr defaultRowHeight="14.4"/>
  <cols>
    <col min="2" max="2" width="143.33203125" customWidth="1"/>
  </cols>
  <sheetData>
    <row r="1" spans="2:2" ht="57" customHeight="1"/>
    <row r="2" spans="2:2" ht="23.25" customHeight="1" thickBot="1">
      <c r="B2" s="80" t="s">
        <v>144</v>
      </c>
    </row>
    <row r="3" spans="2:2" ht="23.25" customHeight="1">
      <c r="B3" s="81" t="s">
        <v>145</v>
      </c>
    </row>
    <row r="4" spans="2:2" ht="23.25" customHeight="1">
      <c r="B4" s="81" t="s">
        <v>146</v>
      </c>
    </row>
    <row r="5" spans="2:2" ht="23.25" customHeight="1">
      <c r="B5" s="81" t="s">
        <v>147</v>
      </c>
    </row>
    <row r="6" spans="2:2" ht="23.25" customHeight="1">
      <c r="B6" s="81" t="s">
        <v>148</v>
      </c>
    </row>
    <row r="7" spans="2:2" ht="23.25" customHeight="1">
      <c r="B7" s="81" t="s">
        <v>149</v>
      </c>
    </row>
    <row r="8" spans="2:2" ht="23.25" customHeight="1">
      <c r="B8" s="81" t="s">
        <v>150</v>
      </c>
    </row>
    <row r="9" spans="2:2" ht="23.25" customHeight="1">
      <c r="B9" s="81" t="s">
        <v>151</v>
      </c>
    </row>
    <row r="10" spans="2:2" ht="23.25" customHeight="1"/>
    <row r="11" spans="2:2" ht="23.25" customHeight="1">
      <c r="B11" s="83" t="s">
        <v>152</v>
      </c>
    </row>
    <row r="12" spans="2:2" ht="23.25" customHeight="1"/>
    <row r="13" spans="2:2" ht="23.25" customHeight="1">
      <c r="B13" s="82" t="s">
        <v>153</v>
      </c>
    </row>
    <row r="14" spans="2:2" ht="23.25" customHeight="1">
      <c r="B14" s="82" t="s">
        <v>154</v>
      </c>
    </row>
    <row r="15" spans="2:2" ht="23.25" customHeight="1">
      <c r="B15" s="82" t="s">
        <v>155</v>
      </c>
    </row>
    <row r="16" spans="2:2" ht="23.25" customHeight="1">
      <c r="B16" s="82" t="s">
        <v>156</v>
      </c>
    </row>
    <row r="17" spans="2:2" ht="23.25" customHeight="1">
      <c r="B17" s="82" t="s">
        <v>157</v>
      </c>
    </row>
    <row r="18" spans="2:2" ht="23.25" customHeight="1">
      <c r="B18" s="82" t="s">
        <v>158</v>
      </c>
    </row>
    <row r="19" spans="2:2" ht="23.25" customHeight="1">
      <c r="B19" s="82" t="s">
        <v>159</v>
      </c>
    </row>
  </sheetData>
  <hyperlinks>
    <hyperlink ref="B11" r:id="rId1" display="http://www.eia.gov/totalenergy/data/monthly/pdf/sec13_4.pdf"/>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
  <sheetViews>
    <sheetView topLeftCell="A34" zoomScale="82" zoomScaleNormal="82" workbookViewId="0">
      <selection activeCell="D36" sqref="D36"/>
    </sheetView>
  </sheetViews>
  <sheetFormatPr defaultRowHeight="14.4"/>
  <sheetData>
    <row r="1" spans="1:14" ht="21">
      <c r="B1" s="23" t="s">
        <v>167</v>
      </c>
    </row>
    <row r="2" spans="1:14">
      <c r="B2" t="s">
        <v>166</v>
      </c>
    </row>
    <row r="3" spans="1:14">
      <c r="B3" t="s">
        <v>165</v>
      </c>
    </row>
    <row r="4" spans="1:14">
      <c r="B4" t="s">
        <v>164</v>
      </c>
    </row>
    <row r="5" spans="1:14" ht="18">
      <c r="B5" t="s">
        <v>163</v>
      </c>
      <c r="C5" t="s">
        <v>162</v>
      </c>
      <c r="L5" s="86" t="s">
        <v>168</v>
      </c>
      <c r="M5" s="86"/>
      <c r="N5" s="86"/>
    </row>
    <row r="6" spans="1:14">
      <c r="A6">
        <v>48</v>
      </c>
      <c r="B6">
        <v>2014</v>
      </c>
      <c r="C6" s="255">
        <v>8.15</v>
      </c>
      <c r="E6" s="88">
        <f t="shared" ref="E6:E52" si="0">E7*(1+$F$55)</f>
        <v>8.6609133663991393</v>
      </c>
      <c r="F6" s="89">
        <f t="shared" ref="F6:F53" si="1">$C$53*(1+$F$55)^(A6-1)</f>
        <v>8.6609133663991393</v>
      </c>
      <c r="G6" s="90">
        <f t="shared" ref="G6:G53" si="2">0.1765*A6+0.0395</f>
        <v>8.5114999999999998</v>
      </c>
    </row>
    <row r="7" spans="1:14">
      <c r="A7">
        <v>47</v>
      </c>
      <c r="B7">
        <v>2013</v>
      </c>
      <c r="C7" s="255">
        <v>7.26</v>
      </c>
      <c r="E7" s="88">
        <f t="shared" si="0"/>
        <v>8.1706729871689987</v>
      </c>
      <c r="F7" s="89">
        <f t="shared" si="1"/>
        <v>8.1706729871689969</v>
      </c>
      <c r="G7" s="90">
        <f t="shared" si="2"/>
        <v>8.3349999999999991</v>
      </c>
    </row>
    <row r="8" spans="1:14">
      <c r="A8">
        <v>46</v>
      </c>
      <c r="B8">
        <v>2012</v>
      </c>
      <c r="C8" s="255">
        <v>7.58</v>
      </c>
      <c r="E8" s="88">
        <f t="shared" si="0"/>
        <v>7.7081820633669791</v>
      </c>
      <c r="F8" s="89">
        <f t="shared" si="1"/>
        <v>7.7081820633669782</v>
      </c>
      <c r="G8" s="90">
        <f t="shared" si="2"/>
        <v>8.1585000000000001</v>
      </c>
    </row>
    <row r="9" spans="1:14">
      <c r="A9">
        <v>45</v>
      </c>
      <c r="B9">
        <v>2011</v>
      </c>
      <c r="C9" s="255">
        <v>7.84</v>
      </c>
      <c r="E9" s="88">
        <f t="shared" si="0"/>
        <v>7.2718698711009235</v>
      </c>
      <c r="F9" s="89">
        <f t="shared" si="1"/>
        <v>7.2718698711009226</v>
      </c>
      <c r="G9" s="90">
        <f t="shared" si="2"/>
        <v>7.9820000000000002</v>
      </c>
    </row>
    <row r="10" spans="1:14">
      <c r="A10">
        <v>44</v>
      </c>
      <c r="B10">
        <v>2010</v>
      </c>
      <c r="C10" s="255">
        <v>7.58</v>
      </c>
      <c r="E10" s="88">
        <f t="shared" si="0"/>
        <v>6.8602545953782297</v>
      </c>
      <c r="F10" s="89">
        <f t="shared" si="1"/>
        <v>6.8602545953782279</v>
      </c>
      <c r="G10" s="90">
        <f t="shared" si="2"/>
        <v>7.8055000000000003</v>
      </c>
    </row>
    <row r="11" spans="1:14">
      <c r="A11">
        <v>43</v>
      </c>
      <c r="B11">
        <v>2009</v>
      </c>
      <c r="C11" s="255">
        <v>7.56</v>
      </c>
      <c r="E11" s="88">
        <f t="shared" si="0"/>
        <v>6.4719382975266315</v>
      </c>
      <c r="F11" s="89">
        <f t="shared" si="1"/>
        <v>6.4719382975266297</v>
      </c>
      <c r="G11" s="90">
        <f t="shared" si="2"/>
        <v>7.6289999999999996</v>
      </c>
    </row>
    <row r="12" spans="1:14">
      <c r="A12">
        <v>42</v>
      </c>
      <c r="B12">
        <v>2008</v>
      </c>
      <c r="C12" s="255">
        <v>9.01</v>
      </c>
      <c r="E12" s="88">
        <f t="shared" si="0"/>
        <v>6.1056021674779544</v>
      </c>
      <c r="F12" s="89">
        <f t="shared" si="1"/>
        <v>6.1056021674779508</v>
      </c>
      <c r="G12" s="90">
        <f t="shared" si="2"/>
        <v>7.4524999999999997</v>
      </c>
    </row>
    <row r="13" spans="1:14">
      <c r="A13">
        <v>41</v>
      </c>
      <c r="B13">
        <v>2007</v>
      </c>
      <c r="C13" s="255">
        <v>8.1</v>
      </c>
      <c r="E13" s="88">
        <f t="shared" si="0"/>
        <v>5.7600020447905225</v>
      </c>
      <c r="F13" s="89">
        <f t="shared" si="1"/>
        <v>5.7600020447905207</v>
      </c>
      <c r="G13" s="90">
        <f t="shared" si="2"/>
        <v>7.2759999999999998</v>
      </c>
    </row>
    <row r="14" spans="1:14">
      <c r="A14">
        <v>40</v>
      </c>
      <c r="B14">
        <v>2006</v>
      </c>
      <c r="C14" s="255">
        <v>9.61</v>
      </c>
      <c r="E14" s="88">
        <f t="shared" si="0"/>
        <v>5.433964193198606</v>
      </c>
      <c r="F14" s="89">
        <f t="shared" si="1"/>
        <v>5.4339641931986051</v>
      </c>
      <c r="G14" s="90">
        <f t="shared" si="2"/>
        <v>7.0994999999999999</v>
      </c>
    </row>
    <row r="15" spans="1:14">
      <c r="A15">
        <v>39</v>
      </c>
      <c r="B15">
        <v>2005</v>
      </c>
      <c r="C15" s="255">
        <v>9.3800000000000008</v>
      </c>
      <c r="E15" s="88">
        <f t="shared" si="0"/>
        <v>5.1263813143383077</v>
      </c>
      <c r="F15" s="89">
        <f t="shared" si="1"/>
        <v>5.1263813143383059</v>
      </c>
      <c r="G15" s="90">
        <f t="shared" si="2"/>
        <v>6.923</v>
      </c>
    </row>
    <row r="16" spans="1:14">
      <c r="A16">
        <v>38</v>
      </c>
      <c r="B16">
        <v>2004</v>
      </c>
      <c r="C16" s="255">
        <v>7.48</v>
      </c>
      <c r="E16" s="88">
        <f t="shared" si="0"/>
        <v>4.8362087871116106</v>
      </c>
      <c r="F16" s="89">
        <f t="shared" si="1"/>
        <v>4.8362087871116088</v>
      </c>
      <c r="G16" s="90">
        <f t="shared" si="2"/>
        <v>6.7465000000000002</v>
      </c>
    </row>
    <row r="17" spans="1:9">
      <c r="A17">
        <v>37</v>
      </c>
      <c r="B17">
        <v>2003</v>
      </c>
      <c r="C17" s="255">
        <v>5.93</v>
      </c>
      <c r="E17" s="88">
        <f t="shared" si="0"/>
        <v>4.5624611199166134</v>
      </c>
      <c r="F17" s="89">
        <f t="shared" si="1"/>
        <v>4.5624611199166116</v>
      </c>
      <c r="G17" s="90">
        <f t="shared" si="2"/>
        <v>6.57</v>
      </c>
    </row>
    <row r="18" spans="1:9">
      <c r="A18">
        <v>36</v>
      </c>
      <c r="B18">
        <v>2002</v>
      </c>
      <c r="C18" s="255">
        <v>4.82</v>
      </c>
      <c r="E18" s="88">
        <f t="shared" si="0"/>
        <v>4.3042086036949181</v>
      </c>
      <c r="F18" s="89">
        <f t="shared" si="1"/>
        <v>4.3042086036949163</v>
      </c>
      <c r="G18" s="90">
        <f t="shared" si="2"/>
        <v>6.3934999999999995</v>
      </c>
    </row>
    <row r="19" spans="1:9">
      <c r="A19">
        <v>35</v>
      </c>
      <c r="B19">
        <v>2001</v>
      </c>
      <c r="C19" s="255">
        <v>7.71</v>
      </c>
      <c r="E19" s="88">
        <f t="shared" si="0"/>
        <v>4.060574154429168</v>
      </c>
      <c r="F19" s="89">
        <f t="shared" si="1"/>
        <v>4.0605741544291662</v>
      </c>
      <c r="G19" s="90">
        <f t="shared" si="2"/>
        <v>6.2169999999999996</v>
      </c>
    </row>
    <row r="20" spans="1:9">
      <c r="A20">
        <v>34</v>
      </c>
      <c r="B20">
        <v>2000</v>
      </c>
      <c r="C20" s="255">
        <v>5.37</v>
      </c>
      <c r="E20" s="88">
        <f t="shared" si="0"/>
        <v>3.8307303343671393</v>
      </c>
      <c r="F20" s="89">
        <f t="shared" si="1"/>
        <v>3.8307303343671375</v>
      </c>
      <c r="G20" s="90">
        <f t="shared" si="2"/>
        <v>6.0404999999999998</v>
      </c>
    </row>
    <row r="21" spans="1:9">
      <c r="A21">
        <v>33</v>
      </c>
      <c r="B21">
        <v>1999</v>
      </c>
      <c r="C21" s="255">
        <v>4.55</v>
      </c>
      <c r="E21" s="88">
        <f t="shared" si="0"/>
        <v>3.6138965418557918</v>
      </c>
      <c r="F21" s="89">
        <f t="shared" si="1"/>
        <v>3.61389654185579</v>
      </c>
      <c r="G21" s="90">
        <f t="shared" si="2"/>
        <v>5.8639999999999999</v>
      </c>
    </row>
    <row r="22" spans="1:9">
      <c r="A22">
        <v>32</v>
      </c>
      <c r="B22">
        <v>1998</v>
      </c>
      <c r="C22" s="255">
        <v>4.34</v>
      </c>
      <c r="E22" s="88">
        <f t="shared" si="0"/>
        <v>3.4093363602413129</v>
      </c>
      <c r="F22" s="89">
        <f t="shared" si="1"/>
        <v>3.409336360241312</v>
      </c>
      <c r="G22" s="90">
        <f t="shared" si="2"/>
        <v>5.6875</v>
      </c>
    </row>
    <row r="23" spans="1:9">
      <c r="A23">
        <v>31</v>
      </c>
      <c r="B23">
        <v>1997</v>
      </c>
      <c r="C23" s="255">
        <v>4.0599999999999996</v>
      </c>
      <c r="E23" s="88">
        <f t="shared" si="0"/>
        <v>3.2163550568314272</v>
      </c>
      <c r="F23" s="89">
        <f t="shared" si="1"/>
        <v>3.2163550568314254</v>
      </c>
      <c r="G23" s="90">
        <f t="shared" si="2"/>
        <v>5.5110000000000001</v>
      </c>
    </row>
    <row r="24" spans="1:9">
      <c r="A24">
        <v>30</v>
      </c>
      <c r="B24">
        <v>1996</v>
      </c>
      <c r="C24" s="255">
        <v>3.67</v>
      </c>
      <c r="E24" s="88">
        <f t="shared" si="0"/>
        <v>3.0342972234258747</v>
      </c>
      <c r="F24" s="89">
        <f t="shared" si="1"/>
        <v>3.0342972234258729</v>
      </c>
      <c r="G24" s="90">
        <f t="shared" si="2"/>
        <v>5.3345000000000002</v>
      </c>
    </row>
    <row r="25" spans="1:9">
      <c r="A25">
        <v>29</v>
      </c>
      <c r="B25">
        <v>1995</v>
      </c>
      <c r="C25" s="255">
        <v>4.2300000000000004</v>
      </c>
      <c r="E25" s="88">
        <f t="shared" si="0"/>
        <v>2.8625445504017684</v>
      </c>
      <c r="F25" s="89">
        <f t="shared" si="1"/>
        <v>2.862544550401767</v>
      </c>
      <c r="G25" s="90">
        <f t="shared" si="2"/>
        <v>5.1580000000000004</v>
      </c>
      <c r="I25" t="s">
        <v>169</v>
      </c>
    </row>
    <row r="26" spans="1:9">
      <c r="A26">
        <v>28</v>
      </c>
      <c r="B26">
        <v>1994</v>
      </c>
      <c r="C26" s="255">
        <v>4.37</v>
      </c>
      <c r="E26" s="88">
        <f t="shared" si="0"/>
        <v>2.7005137267941208</v>
      </c>
      <c r="F26" s="89">
        <f t="shared" si="1"/>
        <v>2.7005137267941195</v>
      </c>
      <c r="G26" s="90">
        <f t="shared" si="2"/>
        <v>4.9815000000000005</v>
      </c>
    </row>
    <row r="27" spans="1:9">
      <c r="A27">
        <v>27</v>
      </c>
      <c r="B27">
        <v>1993</v>
      </c>
      <c r="C27" s="255">
        <v>4.04</v>
      </c>
      <c r="E27" s="88">
        <f t="shared" si="0"/>
        <v>2.5476544592397365</v>
      </c>
      <c r="F27" s="89">
        <f t="shared" si="1"/>
        <v>2.5476544592397348</v>
      </c>
      <c r="G27" s="90">
        <f t="shared" si="2"/>
        <v>4.8049999999999997</v>
      </c>
    </row>
    <row r="28" spans="1:9">
      <c r="A28">
        <v>26</v>
      </c>
      <c r="B28">
        <v>1992</v>
      </c>
      <c r="C28" s="255">
        <v>4</v>
      </c>
      <c r="E28" s="88">
        <f t="shared" si="0"/>
        <v>2.403447603056355</v>
      </c>
      <c r="F28" s="89">
        <f t="shared" si="1"/>
        <v>2.4034476030563536</v>
      </c>
      <c r="G28" s="90">
        <f t="shared" si="2"/>
        <v>4.6284999999999998</v>
      </c>
    </row>
    <row r="29" spans="1:9">
      <c r="A29">
        <v>25</v>
      </c>
      <c r="B29">
        <v>1991</v>
      </c>
      <c r="C29" s="255">
        <v>4.04</v>
      </c>
      <c r="E29" s="88">
        <f t="shared" si="0"/>
        <v>2.2674033991097686</v>
      </c>
      <c r="F29" s="89">
        <f t="shared" si="1"/>
        <v>2.2674033991097677</v>
      </c>
      <c r="G29" s="90">
        <f t="shared" si="2"/>
        <v>4.452</v>
      </c>
    </row>
    <row r="30" spans="1:9">
      <c r="A30">
        <v>24</v>
      </c>
      <c r="B30">
        <v>1990</v>
      </c>
      <c r="C30" s="255">
        <v>3.99</v>
      </c>
      <c r="E30" s="88">
        <f t="shared" si="0"/>
        <v>2.1390598104809135</v>
      </c>
      <c r="F30" s="89">
        <f t="shared" si="1"/>
        <v>2.1390598104809131</v>
      </c>
      <c r="G30" s="90">
        <f t="shared" si="2"/>
        <v>4.2755000000000001</v>
      </c>
    </row>
    <row r="31" spans="1:9">
      <c r="A31">
        <v>23</v>
      </c>
      <c r="B31">
        <v>1989</v>
      </c>
      <c r="C31" s="255">
        <v>4.05</v>
      </c>
      <c r="E31" s="88">
        <f t="shared" si="0"/>
        <v>2.0179809532838804</v>
      </c>
      <c r="F31" s="89">
        <f t="shared" si="1"/>
        <v>2.0179809532838799</v>
      </c>
      <c r="G31" s="90">
        <f t="shared" si="2"/>
        <v>4.0990000000000002</v>
      </c>
    </row>
    <row r="32" spans="1:9">
      <c r="A32">
        <v>22</v>
      </c>
      <c r="B32">
        <v>1988</v>
      </c>
      <c r="C32" s="255">
        <v>3.86</v>
      </c>
      <c r="E32" s="88">
        <f t="shared" si="0"/>
        <v>1.9037556163055473</v>
      </c>
      <c r="F32" s="89">
        <f t="shared" si="1"/>
        <v>1.9037556163055471</v>
      </c>
      <c r="G32" s="90">
        <f t="shared" si="2"/>
        <v>3.9224999999999999</v>
      </c>
    </row>
    <row r="33" spans="1:7">
      <c r="A33">
        <v>21</v>
      </c>
      <c r="B33">
        <v>1987</v>
      </c>
      <c r="C33" s="255">
        <v>4.1500000000000004</v>
      </c>
      <c r="E33" s="88">
        <f t="shared" si="0"/>
        <v>1.7959958644391956</v>
      </c>
      <c r="F33" s="89">
        <f t="shared" si="1"/>
        <v>1.7959958644391951</v>
      </c>
      <c r="G33" s="90">
        <f t="shared" si="2"/>
        <v>3.7459999999999996</v>
      </c>
    </row>
    <row r="34" spans="1:7">
      <c r="A34">
        <v>20</v>
      </c>
      <c r="B34">
        <v>1986</v>
      </c>
      <c r="C34" s="255">
        <v>4.43</v>
      </c>
      <c r="E34" s="88">
        <f t="shared" si="0"/>
        <v>1.6943357211690524</v>
      </c>
      <c r="F34" s="89">
        <f t="shared" si="1"/>
        <v>1.694335721169052</v>
      </c>
      <c r="G34" s="90">
        <f t="shared" si="2"/>
        <v>3.5694999999999997</v>
      </c>
    </row>
    <row r="35" spans="1:7">
      <c r="A35">
        <v>19</v>
      </c>
      <c r="B35">
        <v>1985</v>
      </c>
      <c r="C35" s="255">
        <v>4.6100000000000003</v>
      </c>
      <c r="E35" s="88">
        <f t="shared" si="0"/>
        <v>1.5984299256311814</v>
      </c>
      <c r="F35" s="89">
        <f t="shared" si="1"/>
        <v>1.5984299256311809</v>
      </c>
      <c r="G35" s="90">
        <f t="shared" si="2"/>
        <v>3.3929999999999998</v>
      </c>
    </row>
    <row r="36" spans="1:7">
      <c r="A36">
        <v>18</v>
      </c>
      <c r="B36">
        <v>1984</v>
      </c>
      <c r="C36" s="255">
        <v>4.7699999999999996</v>
      </c>
      <c r="E36" s="88">
        <f t="shared" si="0"/>
        <v>1.5079527600294163</v>
      </c>
      <c r="F36" s="89">
        <f t="shared" si="1"/>
        <v>1.507952760029416</v>
      </c>
      <c r="G36" s="90">
        <f t="shared" si="2"/>
        <v>3.2164999999999995</v>
      </c>
    </row>
    <row r="37" spans="1:7">
      <c r="A37">
        <v>17</v>
      </c>
      <c r="B37">
        <v>1983</v>
      </c>
      <c r="C37" s="255">
        <v>5.04</v>
      </c>
      <c r="E37" s="88">
        <f t="shared" si="0"/>
        <v>1.4225969434239776</v>
      </c>
      <c r="F37" s="89">
        <f t="shared" si="1"/>
        <v>1.4225969434239771</v>
      </c>
      <c r="G37" s="90">
        <f t="shared" si="2"/>
        <v>3.0399999999999996</v>
      </c>
    </row>
    <row r="38" spans="1:7">
      <c r="A38">
        <v>16</v>
      </c>
      <c r="B38">
        <v>1982</v>
      </c>
      <c r="C38" s="255">
        <v>4.57</v>
      </c>
      <c r="E38" s="88">
        <f t="shared" si="0"/>
        <v>1.3420725881358277</v>
      </c>
      <c r="F38" s="89">
        <f t="shared" si="1"/>
        <v>1.342072588135828</v>
      </c>
      <c r="G38" s="90">
        <f t="shared" si="2"/>
        <v>2.8634999999999997</v>
      </c>
    </row>
    <row r="39" spans="1:7">
      <c r="A39">
        <v>15</v>
      </c>
      <c r="B39">
        <v>1981</v>
      </c>
      <c r="C39" s="255">
        <v>3.84</v>
      </c>
      <c r="E39" s="88">
        <f t="shared" si="0"/>
        <v>1.2661062152224789</v>
      </c>
      <c r="F39" s="89">
        <f t="shared" si="1"/>
        <v>1.2661062152224787</v>
      </c>
      <c r="G39" s="90">
        <f t="shared" si="2"/>
        <v>2.6869999999999998</v>
      </c>
    </row>
    <row r="40" spans="1:7">
      <c r="A40">
        <v>14</v>
      </c>
      <c r="B40">
        <v>1980</v>
      </c>
      <c r="C40" s="255">
        <v>3.01</v>
      </c>
      <c r="E40" s="88">
        <f t="shared" si="0"/>
        <v>1.1944398256815838</v>
      </c>
      <c r="F40" s="89">
        <f t="shared" si="1"/>
        <v>1.1944398256815838</v>
      </c>
      <c r="G40" s="90">
        <f t="shared" si="2"/>
        <v>2.5105</v>
      </c>
    </row>
    <row r="41" spans="1:7">
      <c r="A41">
        <v>13</v>
      </c>
      <c r="B41">
        <v>1979</v>
      </c>
      <c r="C41" s="255">
        <v>2.29</v>
      </c>
      <c r="E41" s="88">
        <f t="shared" si="0"/>
        <v>1.1268300242279092</v>
      </c>
      <c r="F41" s="89">
        <f t="shared" si="1"/>
        <v>1.1268300242279092</v>
      </c>
      <c r="G41" s="90">
        <f t="shared" si="2"/>
        <v>2.3339999999999996</v>
      </c>
    </row>
    <row r="42" spans="1:7">
      <c r="A42">
        <v>12</v>
      </c>
      <c r="B42">
        <v>1978</v>
      </c>
      <c r="C42" s="255">
        <v>1.73</v>
      </c>
      <c r="E42" s="88">
        <f t="shared" si="0"/>
        <v>1.0630471926678389</v>
      </c>
      <c r="F42" s="89">
        <f t="shared" si="1"/>
        <v>1.0630471926678386</v>
      </c>
      <c r="G42" s="90">
        <f t="shared" si="2"/>
        <v>2.1574999999999998</v>
      </c>
    </row>
    <row r="43" spans="1:7">
      <c r="A43">
        <v>11</v>
      </c>
      <c r="B43">
        <v>1977</v>
      </c>
      <c r="C43" s="255">
        <v>1.4</v>
      </c>
      <c r="E43" s="88">
        <f t="shared" si="0"/>
        <v>1.002874710063999</v>
      </c>
      <c r="F43" s="89">
        <f t="shared" si="1"/>
        <v>1.0028747100639988</v>
      </c>
      <c r="G43" s="90">
        <f t="shared" si="2"/>
        <v>1.9810000000000001</v>
      </c>
    </row>
    <row r="44" spans="1:7">
      <c r="A44">
        <v>10</v>
      </c>
      <c r="B44">
        <v>1976</v>
      </c>
      <c r="C44" s="255">
        <v>1.0900000000000001</v>
      </c>
      <c r="E44" s="88">
        <f t="shared" si="0"/>
        <v>0.94610821704150838</v>
      </c>
      <c r="F44" s="89">
        <f t="shared" si="1"/>
        <v>0.94610821704150805</v>
      </c>
      <c r="G44" s="90">
        <f t="shared" si="2"/>
        <v>1.8045</v>
      </c>
    </row>
    <row r="45" spans="1:7">
      <c r="A45">
        <v>9</v>
      </c>
      <c r="B45">
        <v>1975</v>
      </c>
      <c r="C45" s="255">
        <v>0.99</v>
      </c>
      <c r="E45" s="88">
        <f t="shared" si="0"/>
        <v>0.89255492173727202</v>
      </c>
      <c r="F45" s="89">
        <f t="shared" si="1"/>
        <v>0.8925549217372718</v>
      </c>
      <c r="G45" s="90">
        <f t="shared" si="2"/>
        <v>1.6279999999999999</v>
      </c>
    </row>
    <row r="46" spans="1:7">
      <c r="A46">
        <v>8</v>
      </c>
      <c r="B46">
        <v>1974</v>
      </c>
      <c r="C46" s="255">
        <v>0.83</v>
      </c>
      <c r="E46" s="88">
        <f t="shared" si="0"/>
        <v>0.84203294503516224</v>
      </c>
      <c r="F46" s="89">
        <f t="shared" si="1"/>
        <v>0.84203294503516213</v>
      </c>
      <c r="G46" s="90">
        <f t="shared" si="2"/>
        <v>1.4515</v>
      </c>
    </row>
    <row r="47" spans="1:7">
      <c r="A47">
        <v>7</v>
      </c>
      <c r="B47">
        <v>1973</v>
      </c>
      <c r="C47" s="255">
        <v>0.68</v>
      </c>
      <c r="E47" s="88">
        <f t="shared" si="0"/>
        <v>0.79437070286336053</v>
      </c>
      <c r="F47" s="89">
        <f t="shared" si="1"/>
        <v>0.79437070286336042</v>
      </c>
      <c r="G47" s="90">
        <f t="shared" si="2"/>
        <v>1.2750000000000001</v>
      </c>
    </row>
    <row r="48" spans="1:7">
      <c r="A48">
        <v>6</v>
      </c>
      <c r="B48">
        <v>1972</v>
      </c>
      <c r="C48" s="255">
        <v>0.64</v>
      </c>
      <c r="E48" s="88">
        <f t="shared" si="0"/>
        <v>0.74940632345600044</v>
      </c>
      <c r="F48" s="89">
        <f t="shared" si="1"/>
        <v>0.74940632345600033</v>
      </c>
      <c r="G48" s="90">
        <f t="shared" si="2"/>
        <v>1.0985</v>
      </c>
    </row>
    <row r="49" spans="1:10">
      <c r="A49">
        <v>5</v>
      </c>
      <c r="B49">
        <v>1971</v>
      </c>
      <c r="C49" s="255">
        <v>0.59</v>
      </c>
      <c r="E49" s="88">
        <f t="shared" si="0"/>
        <v>0.70698709760000034</v>
      </c>
      <c r="F49" s="89">
        <f t="shared" si="1"/>
        <v>0.70698709760000022</v>
      </c>
      <c r="G49" s="90">
        <f t="shared" si="2"/>
        <v>0.92199999999999993</v>
      </c>
    </row>
    <row r="50" spans="1:10">
      <c r="A50">
        <v>4</v>
      </c>
      <c r="B50">
        <v>1970</v>
      </c>
      <c r="C50" s="255">
        <v>0.56999999999999995</v>
      </c>
      <c r="E50" s="88">
        <f t="shared" si="0"/>
        <v>0.66696896000000028</v>
      </c>
      <c r="F50" s="89">
        <f t="shared" si="1"/>
        <v>0.66696896000000028</v>
      </c>
      <c r="G50" s="90">
        <f t="shared" si="2"/>
        <v>0.74549999999999994</v>
      </c>
    </row>
    <row r="51" spans="1:10">
      <c r="A51">
        <v>3</v>
      </c>
      <c r="B51">
        <v>1969</v>
      </c>
      <c r="C51" s="255">
        <v>0.55000000000000004</v>
      </c>
      <c r="E51" s="88">
        <f t="shared" si="0"/>
        <v>0.62921600000000022</v>
      </c>
      <c r="F51" s="89">
        <f t="shared" si="1"/>
        <v>0.62921600000000011</v>
      </c>
      <c r="G51" s="90">
        <f t="shared" si="2"/>
        <v>0.56899999999999995</v>
      </c>
    </row>
    <row r="52" spans="1:10">
      <c r="A52">
        <v>2</v>
      </c>
      <c r="B52">
        <v>1968</v>
      </c>
      <c r="C52" s="255">
        <v>0.55000000000000004</v>
      </c>
      <c r="E52" s="88">
        <f t="shared" si="0"/>
        <v>0.59360000000000013</v>
      </c>
      <c r="F52" s="89">
        <f t="shared" si="1"/>
        <v>0.59360000000000013</v>
      </c>
      <c r="G52" s="90">
        <f t="shared" si="2"/>
        <v>0.39249999999999996</v>
      </c>
    </row>
    <row r="53" spans="1:10">
      <c r="A53">
        <v>1</v>
      </c>
      <c r="B53">
        <v>1967</v>
      </c>
      <c r="C53" s="255">
        <v>0.56000000000000005</v>
      </c>
      <c r="E53" s="88">
        <f>C53</f>
        <v>0.56000000000000005</v>
      </c>
      <c r="F53" s="89">
        <f t="shared" si="1"/>
        <v>0.56000000000000005</v>
      </c>
      <c r="G53" s="90">
        <f t="shared" si="2"/>
        <v>0.216</v>
      </c>
    </row>
    <row r="55" spans="1:10">
      <c r="F55" s="87">
        <v>0.06</v>
      </c>
      <c r="G55">
        <v>0.17649999999999999</v>
      </c>
    </row>
    <row r="57" spans="1:10">
      <c r="E57" t="s">
        <v>161</v>
      </c>
      <c r="F57" s="85" t="s">
        <v>160</v>
      </c>
      <c r="H57" s="91">
        <v>0.17649999999999999</v>
      </c>
      <c r="I57" s="85" t="s">
        <v>170</v>
      </c>
      <c r="J57" s="84"/>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9"/>
  <sheetViews>
    <sheetView topLeftCell="G7" zoomScale="80" zoomScaleNormal="80" workbookViewId="0">
      <selection activeCell="U24" sqref="U24"/>
    </sheetView>
  </sheetViews>
  <sheetFormatPr defaultRowHeight="14.4"/>
  <cols>
    <col min="1" max="1" width="71.44140625" style="157" customWidth="1"/>
    <col min="3" max="3" width="11.33203125" bestFit="1" customWidth="1"/>
    <col min="4" max="4" width="19.6640625" customWidth="1"/>
    <col min="11" max="11" width="9" customWidth="1"/>
    <col min="12" max="12" width="9.44140625" customWidth="1"/>
    <col min="13" max="13" width="9.88671875" customWidth="1"/>
    <col min="14" max="14" width="12.5546875" customWidth="1"/>
    <col min="15" max="15" width="12.33203125" customWidth="1"/>
    <col min="16" max="16" width="12.88671875" customWidth="1"/>
    <col min="21" max="21" width="11.5546875" customWidth="1"/>
    <col min="22" max="22" width="11.44140625" customWidth="1"/>
    <col min="26" max="26" width="11.33203125" customWidth="1"/>
    <col min="27" max="27" width="12" customWidth="1"/>
    <col min="28" max="28" width="11.88671875" customWidth="1"/>
  </cols>
  <sheetData>
    <row r="1" spans="1:26" ht="21">
      <c r="A1" s="23" t="s">
        <v>198</v>
      </c>
    </row>
    <row r="2" spans="1:26" ht="28.8">
      <c r="A2" s="168" t="s">
        <v>248</v>
      </c>
      <c r="C2">
        <v>5196</v>
      </c>
      <c r="D2" t="s">
        <v>34</v>
      </c>
    </row>
    <row r="3" spans="1:26" ht="24.75" customHeight="1">
      <c r="A3" s="81" t="s">
        <v>151</v>
      </c>
      <c r="C3" s="1">
        <f>C2*100000</f>
        <v>519600000</v>
      </c>
      <c r="D3" t="s">
        <v>36</v>
      </c>
    </row>
    <row r="4" spans="1:26" ht="86.4">
      <c r="A4" s="169" t="s">
        <v>249</v>
      </c>
      <c r="C4" s="1">
        <f>C3/1030</f>
        <v>504466.01941747573</v>
      </c>
      <c r="D4" t="s">
        <v>250</v>
      </c>
      <c r="M4" s="487" t="s">
        <v>201</v>
      </c>
      <c r="N4" s="487"/>
      <c r="O4" s="487"/>
      <c r="P4" s="487"/>
      <c r="Q4" s="186"/>
      <c r="R4" s="186"/>
      <c r="S4" s="487"/>
      <c r="T4" s="487"/>
      <c r="U4" s="487"/>
      <c r="V4" t="s">
        <v>256</v>
      </c>
    </row>
    <row r="5" spans="1:26" ht="28.5" customHeight="1">
      <c r="A5" s="169"/>
      <c r="C5" s="2">
        <f>42.1*C4/1000</f>
        <v>21238.019417475731</v>
      </c>
      <c r="D5" t="s">
        <v>251</v>
      </c>
      <c r="G5" t="s">
        <v>207</v>
      </c>
      <c r="L5" s="4" t="s">
        <v>202</v>
      </c>
      <c r="M5" s="488">
        <v>25</v>
      </c>
      <c r="N5" s="488"/>
      <c r="O5" s="183">
        <v>85</v>
      </c>
      <c r="P5" s="183"/>
      <c r="Q5" s="183"/>
      <c r="R5" s="183"/>
      <c r="S5">
        <v>1</v>
      </c>
      <c r="T5">
        <v>2</v>
      </c>
      <c r="U5">
        <v>3</v>
      </c>
      <c r="V5" s="54">
        <f>1+(V6-$S$6)/10</f>
        <v>4</v>
      </c>
      <c r="W5" s="54">
        <f>1+(W6-$S$6)/10</f>
        <v>5</v>
      </c>
      <c r="X5" s="54">
        <f>1+(X6-$S$6)/10</f>
        <v>6</v>
      </c>
      <c r="Y5" s="54">
        <f>1+(Y6-$S$6)/10</f>
        <v>10</v>
      </c>
      <c r="Z5" s="54">
        <f>1+(Z6-$S$6)/10</f>
        <v>20</v>
      </c>
    </row>
    <row r="6" spans="1:26" ht="28.8">
      <c r="A6" s="170" t="s">
        <v>200</v>
      </c>
      <c r="C6" s="181">
        <f>C5*115/42.1</f>
        <v>58013.592233009716</v>
      </c>
      <c r="D6" t="s">
        <v>199</v>
      </c>
      <c r="M6" s="489" t="s">
        <v>203</v>
      </c>
      <c r="N6" s="489"/>
      <c r="O6" s="184" t="s">
        <v>204</v>
      </c>
      <c r="P6" s="183" t="s">
        <v>206</v>
      </c>
      <c r="Q6" s="183"/>
      <c r="R6" s="183"/>
      <c r="S6" s="3">
        <v>15</v>
      </c>
      <c r="T6" s="3">
        <v>25</v>
      </c>
      <c r="U6" s="3">
        <v>35</v>
      </c>
      <c r="V6" s="3">
        <v>45</v>
      </c>
      <c r="W6" s="3">
        <v>55</v>
      </c>
      <c r="X6" s="3">
        <v>65</v>
      </c>
      <c r="Y6" s="3">
        <v>105</v>
      </c>
      <c r="Z6" s="3">
        <v>205</v>
      </c>
    </row>
    <row r="7" spans="1:26" ht="44.25" customHeight="1">
      <c r="A7" s="170"/>
      <c r="C7" s="181">
        <f>C6/2204</f>
        <v>26.321956548552503</v>
      </c>
      <c r="D7" t="s">
        <v>253</v>
      </c>
      <c r="M7" s="182" t="s">
        <v>254</v>
      </c>
      <c r="N7" s="182" t="s">
        <v>255</v>
      </c>
      <c r="O7" s="184" t="s">
        <v>254</v>
      </c>
      <c r="P7" s="184" t="s">
        <v>255</v>
      </c>
      <c r="Q7" s="184"/>
      <c r="R7" s="184"/>
      <c r="S7" s="3"/>
      <c r="T7" s="3"/>
      <c r="U7" s="3"/>
      <c r="V7" s="3"/>
      <c r="W7" s="3"/>
      <c r="X7" s="3"/>
      <c r="Y7" s="3"/>
      <c r="Z7" s="3"/>
    </row>
    <row r="8" spans="1:26">
      <c r="A8" s="171" t="s">
        <v>205</v>
      </c>
      <c r="B8">
        <f>C6/C5</f>
        <v>2.7315914489311166</v>
      </c>
      <c r="C8" s="2"/>
      <c r="K8" s="53">
        <v>0</v>
      </c>
      <c r="L8">
        <f>$C$5*K8</f>
        <v>0</v>
      </c>
      <c r="M8" s="158">
        <f t="shared" ref="M8:M18" si="0">$M$5*L8</f>
        <v>0</v>
      </c>
      <c r="N8" s="158">
        <f>M8/2204</f>
        <v>0</v>
      </c>
      <c r="O8" s="185">
        <f t="shared" ref="O8:O18" si="1">$O$5*L8</f>
        <v>0</v>
      </c>
      <c r="P8" s="185">
        <f>O8/2204</f>
        <v>0</v>
      </c>
      <c r="Q8" s="185">
        <v>26</v>
      </c>
      <c r="R8" s="188">
        <f>Q8/$C$7</f>
        <v>0.98776851758878048</v>
      </c>
      <c r="S8" s="3">
        <f t="shared" ref="S8:Z8" si="2">$S$6*$P8</f>
        <v>0</v>
      </c>
      <c r="T8" s="3">
        <f t="shared" si="2"/>
        <v>0</v>
      </c>
      <c r="U8" s="3">
        <f t="shared" si="2"/>
        <v>0</v>
      </c>
      <c r="V8" s="3">
        <f t="shared" si="2"/>
        <v>0</v>
      </c>
      <c r="W8" s="3">
        <f t="shared" si="2"/>
        <v>0</v>
      </c>
      <c r="X8" s="3">
        <f t="shared" si="2"/>
        <v>0</v>
      </c>
      <c r="Y8" s="3">
        <f t="shared" si="2"/>
        <v>0</v>
      </c>
      <c r="Z8" s="3">
        <f t="shared" si="2"/>
        <v>0</v>
      </c>
    </row>
    <row r="9" spans="1:26" ht="31.5" customHeight="1">
      <c r="A9" s="172" t="s">
        <v>208</v>
      </c>
      <c r="K9" s="53">
        <v>0.01</v>
      </c>
      <c r="L9" s="2">
        <f>$C$5*K9</f>
        <v>212.38019417475732</v>
      </c>
      <c r="M9" s="158">
        <f t="shared" si="0"/>
        <v>5309.5048543689327</v>
      </c>
      <c r="N9" s="158">
        <f t="shared" ref="N9:N18" si="3">M9/2204</f>
        <v>2.4090312406392616</v>
      </c>
      <c r="O9" s="185">
        <f t="shared" si="1"/>
        <v>18052.316504854371</v>
      </c>
      <c r="P9" s="185">
        <f>O9/2204</f>
        <v>8.1907062181734887</v>
      </c>
      <c r="Q9" s="185">
        <f>P9+$C$7</f>
        <v>34.512662766725995</v>
      </c>
      <c r="R9" s="188">
        <f>Q9/$C$7</f>
        <v>1.3111739130434783</v>
      </c>
      <c r="S9" s="3">
        <f t="shared" ref="S9:Z10" si="4">S$6*$P9</f>
        <v>122.86059327260233</v>
      </c>
      <c r="T9" s="3">
        <f t="shared" si="4"/>
        <v>204.76765545433722</v>
      </c>
      <c r="U9" s="3">
        <f t="shared" si="4"/>
        <v>286.6747176360721</v>
      </c>
      <c r="V9" s="3">
        <f t="shared" si="4"/>
        <v>368.58177981780699</v>
      </c>
      <c r="W9" s="3">
        <f t="shared" si="4"/>
        <v>450.48884199954188</v>
      </c>
      <c r="X9" s="3">
        <f t="shared" si="4"/>
        <v>532.39590418127682</v>
      </c>
      <c r="Y9" s="3">
        <f t="shared" si="4"/>
        <v>860.02415290821637</v>
      </c>
      <c r="Z9" s="3">
        <f t="shared" si="4"/>
        <v>1679.0947747255652</v>
      </c>
    </row>
    <row r="10" spans="1:26" ht="66" customHeight="1">
      <c r="A10" s="172" t="s">
        <v>209</v>
      </c>
      <c r="K10" s="53">
        <v>0.02</v>
      </c>
      <c r="L10" s="2">
        <f t="shared" ref="L10:L17" si="5">$C$5*K10</f>
        <v>424.76038834951464</v>
      </c>
      <c r="M10" s="158">
        <f t="shared" si="0"/>
        <v>10619.009708737865</v>
      </c>
      <c r="N10" s="158">
        <f t="shared" si="3"/>
        <v>4.8180624812785231</v>
      </c>
      <c r="O10" s="185">
        <f t="shared" si="1"/>
        <v>36104.633009708741</v>
      </c>
      <c r="P10" s="185">
        <f t="shared" ref="P10:P18" si="6">O10/2204</f>
        <v>16.381412436346977</v>
      </c>
      <c r="Q10" s="185">
        <f t="shared" ref="Q10:Q18" si="7">P10+$C$7</f>
        <v>42.703368984899484</v>
      </c>
      <c r="R10" s="188">
        <f t="shared" ref="R10:R18" si="8">Q10/$C$7</f>
        <v>1.6223478260869566</v>
      </c>
      <c r="S10" s="3">
        <f t="shared" si="4"/>
        <v>245.72118654520466</v>
      </c>
      <c r="T10" s="3">
        <f t="shared" si="4"/>
        <v>409.53531090867443</v>
      </c>
      <c r="U10" s="3">
        <f t="shared" si="4"/>
        <v>573.34943527214421</v>
      </c>
      <c r="V10" s="3">
        <f t="shared" si="4"/>
        <v>737.16355963561398</v>
      </c>
      <c r="W10" s="3">
        <f t="shared" si="4"/>
        <v>900.97768399908375</v>
      </c>
      <c r="X10" s="3">
        <f t="shared" si="4"/>
        <v>1064.7918083625536</v>
      </c>
      <c r="Y10" s="3">
        <f t="shared" si="4"/>
        <v>1720.0483058164327</v>
      </c>
      <c r="Z10" s="3">
        <f t="shared" si="4"/>
        <v>3358.1895494511305</v>
      </c>
    </row>
    <row r="11" spans="1:26" ht="16.2">
      <c r="A11" s="173" t="s">
        <v>210</v>
      </c>
      <c r="B11" s="173"/>
      <c r="K11" s="53">
        <v>2.5000000000000001E-2</v>
      </c>
      <c r="L11" s="2">
        <f t="shared" si="5"/>
        <v>530.95048543689325</v>
      </c>
      <c r="M11" s="158">
        <f t="shared" si="0"/>
        <v>13273.76213592233</v>
      </c>
      <c r="N11" s="158">
        <f t="shared" si="3"/>
        <v>6.0225781015981532</v>
      </c>
      <c r="O11" s="185">
        <f t="shared" si="1"/>
        <v>45130.791262135928</v>
      </c>
      <c r="P11" s="185">
        <f t="shared" si="6"/>
        <v>20.476765545433725</v>
      </c>
      <c r="Q11" s="185">
        <f t="shared" si="7"/>
        <v>46.798722093986228</v>
      </c>
      <c r="R11" s="188">
        <f t="shared" si="8"/>
        <v>1.7779347826086958</v>
      </c>
      <c r="S11" s="3">
        <f t="shared" ref="S11:Z18" si="9">S$6*$P11</f>
        <v>307.15148318150585</v>
      </c>
      <c r="T11" s="3">
        <f t="shared" si="9"/>
        <v>511.91913863584313</v>
      </c>
      <c r="U11" s="3">
        <f t="shared" si="9"/>
        <v>716.68679409018034</v>
      </c>
      <c r="V11" s="3">
        <f t="shared" si="9"/>
        <v>921.45444954451762</v>
      </c>
      <c r="W11" s="3">
        <f t="shared" si="9"/>
        <v>1126.2221049988548</v>
      </c>
      <c r="X11" s="3">
        <f t="shared" si="9"/>
        <v>1330.989760453192</v>
      </c>
      <c r="Y11" s="3">
        <f t="shared" si="9"/>
        <v>2150.0603822705411</v>
      </c>
      <c r="Z11" s="3">
        <f t="shared" si="9"/>
        <v>4197.7369368139134</v>
      </c>
    </row>
    <row r="12" spans="1:26" ht="16.2">
      <c r="A12" s="173" t="s">
        <v>211</v>
      </c>
      <c r="B12" s="173"/>
      <c r="K12" s="53">
        <v>0.03</v>
      </c>
      <c r="L12" s="2">
        <f t="shared" si="5"/>
        <v>637.14058252427185</v>
      </c>
      <c r="M12" s="158">
        <f t="shared" si="0"/>
        <v>15928.514563106797</v>
      </c>
      <c r="N12" s="158">
        <f t="shared" si="3"/>
        <v>7.2270937219177842</v>
      </c>
      <c r="O12" s="185">
        <f t="shared" si="1"/>
        <v>54156.949514563108</v>
      </c>
      <c r="P12" s="185">
        <f t="shared" si="6"/>
        <v>24.572118654520466</v>
      </c>
      <c r="Q12" s="185">
        <f t="shared" si="7"/>
        <v>50.894075203072973</v>
      </c>
      <c r="R12" s="188">
        <f t="shared" si="8"/>
        <v>1.9335217391304347</v>
      </c>
      <c r="S12" s="3">
        <f t="shared" si="9"/>
        <v>368.58177981780699</v>
      </c>
      <c r="T12" s="3">
        <f t="shared" si="9"/>
        <v>614.30296636301159</v>
      </c>
      <c r="U12" s="3">
        <f t="shared" si="9"/>
        <v>860.02415290821637</v>
      </c>
      <c r="V12" s="3">
        <f t="shared" si="9"/>
        <v>1105.7453394534209</v>
      </c>
      <c r="W12" s="3">
        <f t="shared" si="9"/>
        <v>1351.4665259986257</v>
      </c>
      <c r="X12" s="3">
        <f t="shared" si="9"/>
        <v>1597.1877125438302</v>
      </c>
      <c r="Y12" s="3">
        <f t="shared" si="9"/>
        <v>2580.0724587246491</v>
      </c>
      <c r="Z12" s="3">
        <f t="shared" si="9"/>
        <v>5037.2843241766959</v>
      </c>
    </row>
    <row r="13" spans="1:26">
      <c r="A13" s="173"/>
      <c r="B13" s="173"/>
      <c r="K13" s="53">
        <v>3.5000000000000003E-2</v>
      </c>
      <c r="L13" s="2">
        <f t="shared" si="5"/>
        <v>743.33067961165068</v>
      </c>
      <c r="M13" s="158">
        <f t="shared" si="0"/>
        <v>18583.266990291268</v>
      </c>
      <c r="N13" s="158">
        <f t="shared" si="3"/>
        <v>8.431609342237417</v>
      </c>
      <c r="O13" s="185">
        <f t="shared" si="1"/>
        <v>63183.10776699031</v>
      </c>
      <c r="P13" s="185">
        <f t="shared" si="6"/>
        <v>28.667471763607217</v>
      </c>
      <c r="Q13" s="185">
        <f t="shared" si="7"/>
        <v>54.989428312159717</v>
      </c>
      <c r="R13" s="188">
        <f t="shared" si="8"/>
        <v>2.0891086956521741</v>
      </c>
      <c r="S13" s="3">
        <f t="shared" si="9"/>
        <v>430.01207645410824</v>
      </c>
      <c r="T13" s="3">
        <f t="shared" si="9"/>
        <v>716.68679409018046</v>
      </c>
      <c r="U13" s="3">
        <f t="shared" si="9"/>
        <v>1003.3615117262526</v>
      </c>
      <c r="V13" s="3">
        <f t="shared" si="9"/>
        <v>1290.0362293623248</v>
      </c>
      <c r="W13" s="3">
        <f t="shared" si="9"/>
        <v>1576.710946998397</v>
      </c>
      <c r="X13" s="3">
        <f t="shared" si="9"/>
        <v>1863.3856646344691</v>
      </c>
      <c r="Y13" s="3">
        <f t="shared" si="9"/>
        <v>3010.084535178758</v>
      </c>
      <c r="Z13" s="3">
        <f t="shared" si="9"/>
        <v>5876.8317115394793</v>
      </c>
    </row>
    <row r="14" spans="1:26">
      <c r="A14" s="173"/>
      <c r="B14" s="173"/>
      <c r="K14" s="53">
        <v>0.04</v>
      </c>
      <c r="L14" s="2">
        <f t="shared" si="5"/>
        <v>849.52077669902928</v>
      </c>
      <c r="M14" s="158">
        <f t="shared" si="0"/>
        <v>21238.019417475731</v>
      </c>
      <c r="N14" s="158">
        <f t="shared" si="3"/>
        <v>9.6361249625570462</v>
      </c>
      <c r="O14" s="185">
        <f t="shared" si="1"/>
        <v>72209.266019417482</v>
      </c>
      <c r="P14" s="185">
        <f t="shared" si="6"/>
        <v>32.762824872693955</v>
      </c>
      <c r="Q14" s="185">
        <f t="shared" si="7"/>
        <v>59.084781421246461</v>
      </c>
      <c r="R14" s="188">
        <f t="shared" si="8"/>
        <v>2.2446956521739132</v>
      </c>
      <c r="S14" s="3">
        <f t="shared" si="9"/>
        <v>491.44237309040932</v>
      </c>
      <c r="T14" s="3">
        <f t="shared" si="9"/>
        <v>819.07062181734887</v>
      </c>
      <c r="U14" s="3">
        <f t="shared" si="9"/>
        <v>1146.6988705442884</v>
      </c>
      <c r="V14" s="3">
        <f t="shared" si="9"/>
        <v>1474.327119271228</v>
      </c>
      <c r="W14" s="3">
        <f t="shared" si="9"/>
        <v>1801.9553679981675</v>
      </c>
      <c r="X14" s="3">
        <f t="shared" si="9"/>
        <v>2129.5836167251073</v>
      </c>
      <c r="Y14" s="3">
        <f t="shared" si="9"/>
        <v>3440.0966116328655</v>
      </c>
      <c r="Z14" s="3">
        <f t="shared" si="9"/>
        <v>6716.3790989022609</v>
      </c>
    </row>
    <row r="15" spans="1:26">
      <c r="A15" s="173" t="s">
        <v>212</v>
      </c>
      <c r="B15" s="173"/>
      <c r="K15" s="53">
        <v>0.05</v>
      </c>
      <c r="L15" s="2">
        <f t="shared" si="5"/>
        <v>1061.9009708737865</v>
      </c>
      <c r="M15" s="158">
        <f t="shared" si="0"/>
        <v>26547.524271844661</v>
      </c>
      <c r="N15" s="158">
        <f t="shared" si="3"/>
        <v>12.045156203196306</v>
      </c>
      <c r="O15" s="185">
        <f t="shared" si="1"/>
        <v>90261.582524271857</v>
      </c>
      <c r="P15" s="185">
        <f t="shared" si="6"/>
        <v>40.95353109086745</v>
      </c>
      <c r="Q15" s="185">
        <f t="shared" si="7"/>
        <v>67.27548763941995</v>
      </c>
      <c r="R15" s="188">
        <f t="shared" si="8"/>
        <v>2.5558695652173911</v>
      </c>
      <c r="S15" s="3">
        <f t="shared" si="9"/>
        <v>614.30296636301171</v>
      </c>
      <c r="T15" s="3">
        <f t="shared" si="9"/>
        <v>1023.8382772716863</v>
      </c>
      <c r="U15" s="3">
        <f t="shared" si="9"/>
        <v>1433.3735881803607</v>
      </c>
      <c r="V15" s="3">
        <f t="shared" si="9"/>
        <v>1842.9088990890352</v>
      </c>
      <c r="W15" s="3">
        <f t="shared" si="9"/>
        <v>2252.4442099977095</v>
      </c>
      <c r="X15" s="3">
        <f t="shared" si="9"/>
        <v>2661.9795209063841</v>
      </c>
      <c r="Y15" s="3">
        <f t="shared" si="9"/>
        <v>4300.1207645410823</v>
      </c>
      <c r="Z15" s="3">
        <f t="shared" si="9"/>
        <v>8395.4738736278268</v>
      </c>
    </row>
    <row r="16" spans="1:26">
      <c r="A16" s="173" t="s">
        <v>213</v>
      </c>
      <c r="B16" s="173"/>
      <c r="K16" s="53">
        <v>0.06</v>
      </c>
      <c r="L16" s="2">
        <f t="shared" si="5"/>
        <v>1274.2811650485437</v>
      </c>
      <c r="M16" s="158">
        <f t="shared" si="0"/>
        <v>31857.029126213594</v>
      </c>
      <c r="N16" s="158">
        <f t="shared" si="3"/>
        <v>14.454187443835568</v>
      </c>
      <c r="O16" s="185">
        <f t="shared" si="1"/>
        <v>108313.89902912622</v>
      </c>
      <c r="P16" s="185">
        <f t="shared" si="6"/>
        <v>49.144237309040932</v>
      </c>
      <c r="Q16" s="185">
        <f t="shared" si="7"/>
        <v>75.466193857593439</v>
      </c>
      <c r="R16" s="188">
        <f t="shared" si="8"/>
        <v>2.8670434782608694</v>
      </c>
      <c r="S16" s="3">
        <f t="shared" si="9"/>
        <v>737.16355963561398</v>
      </c>
      <c r="T16" s="3">
        <f t="shared" si="9"/>
        <v>1228.6059327260232</v>
      </c>
      <c r="U16" s="3">
        <f t="shared" si="9"/>
        <v>1720.0483058164327</v>
      </c>
      <c r="V16" s="3">
        <f t="shared" si="9"/>
        <v>2211.4906789068418</v>
      </c>
      <c r="W16" s="3">
        <f t="shared" si="9"/>
        <v>2702.9330519972514</v>
      </c>
      <c r="X16" s="3">
        <f t="shared" si="9"/>
        <v>3194.3754250876605</v>
      </c>
      <c r="Y16" s="3">
        <f t="shared" si="9"/>
        <v>5160.1449174492982</v>
      </c>
      <c r="Z16" s="3">
        <f t="shared" si="9"/>
        <v>10074.568648353392</v>
      </c>
    </row>
    <row r="17" spans="1:26">
      <c r="B17" s="157"/>
      <c r="K17" s="53">
        <v>0.1</v>
      </c>
      <c r="L17" s="2">
        <f t="shared" si="5"/>
        <v>2123.801941747573</v>
      </c>
      <c r="M17" s="158">
        <f t="shared" si="0"/>
        <v>53095.048543689321</v>
      </c>
      <c r="N17" s="158">
        <f t="shared" si="3"/>
        <v>24.090312406392613</v>
      </c>
      <c r="O17" s="185">
        <f t="shared" si="1"/>
        <v>180523.16504854371</v>
      </c>
      <c r="P17" s="185">
        <f t="shared" si="6"/>
        <v>81.907062181734901</v>
      </c>
      <c r="Q17" s="185">
        <f t="shared" si="7"/>
        <v>108.22901873028741</v>
      </c>
      <c r="R17" s="188">
        <f t="shared" si="8"/>
        <v>4.111739130434783</v>
      </c>
      <c r="S17" s="3">
        <f t="shared" si="9"/>
        <v>1228.6059327260234</v>
      </c>
      <c r="T17" s="3">
        <f t="shared" si="9"/>
        <v>2047.6765545433725</v>
      </c>
      <c r="U17" s="3">
        <f t="shared" si="9"/>
        <v>2866.7471763607214</v>
      </c>
      <c r="V17" s="3">
        <f t="shared" si="9"/>
        <v>3685.8177981780705</v>
      </c>
      <c r="W17" s="3">
        <f t="shared" si="9"/>
        <v>4504.8884199954191</v>
      </c>
      <c r="X17" s="3">
        <f t="shared" si="9"/>
        <v>5323.9590418127682</v>
      </c>
      <c r="Y17" s="3">
        <f t="shared" si="9"/>
        <v>8600.2415290821646</v>
      </c>
      <c r="Z17" s="3">
        <f t="shared" si="9"/>
        <v>16790.947747255654</v>
      </c>
    </row>
    <row r="18" spans="1:26" ht="35.25" customHeight="1">
      <c r="A18" s="173" t="s">
        <v>214</v>
      </c>
      <c r="B18" s="173"/>
      <c r="K18" s="53">
        <v>0.12</v>
      </c>
      <c r="L18" s="2">
        <f>$C$5*K18</f>
        <v>2548.5623300970874</v>
      </c>
      <c r="M18" s="158">
        <f t="shared" si="0"/>
        <v>63714.058252427189</v>
      </c>
      <c r="N18" s="158">
        <f t="shared" si="3"/>
        <v>28.908374887671137</v>
      </c>
      <c r="O18" s="185">
        <f t="shared" si="1"/>
        <v>216627.79805825243</v>
      </c>
      <c r="P18" s="185">
        <f t="shared" si="6"/>
        <v>98.288474618081864</v>
      </c>
      <c r="Q18" s="185">
        <f t="shared" si="7"/>
        <v>124.61043116663437</v>
      </c>
      <c r="R18" s="188">
        <f t="shared" si="8"/>
        <v>4.7340869565217387</v>
      </c>
      <c r="S18" s="3">
        <f t="shared" si="9"/>
        <v>1474.327119271228</v>
      </c>
      <c r="T18" s="3">
        <f t="shared" si="9"/>
        <v>2457.2118654520464</v>
      </c>
      <c r="U18" s="3">
        <f t="shared" si="9"/>
        <v>3440.0966116328655</v>
      </c>
      <c r="V18" s="3">
        <f t="shared" si="9"/>
        <v>4422.9813578136836</v>
      </c>
      <c r="W18" s="3">
        <f t="shared" si="9"/>
        <v>5405.8661039945027</v>
      </c>
      <c r="X18" s="3">
        <f t="shared" si="9"/>
        <v>6388.7508501753209</v>
      </c>
      <c r="Y18" s="3">
        <f t="shared" si="9"/>
        <v>10320.289834898596</v>
      </c>
      <c r="Z18" s="3">
        <f t="shared" si="9"/>
        <v>20149.137296706784</v>
      </c>
    </row>
    <row r="19" spans="1:26">
      <c r="A19" s="174">
        <f>1264.13*16</f>
        <v>20226.080000000002</v>
      </c>
      <c r="B19" s="174"/>
      <c r="M19" s="158"/>
      <c r="N19" s="158"/>
      <c r="O19" s="185"/>
      <c r="P19" s="185"/>
      <c r="Q19" s="185"/>
      <c r="R19" s="185"/>
    </row>
    <row r="20" spans="1:26">
      <c r="A20" s="175">
        <f>A19/454</f>
        <v>44.550837004405288</v>
      </c>
      <c r="B20" s="175"/>
      <c r="M20" s="158"/>
      <c r="N20" s="158"/>
      <c r="O20" s="185"/>
      <c r="P20" s="185"/>
      <c r="Q20" s="185"/>
      <c r="R20" s="185"/>
    </row>
    <row r="21" spans="1:26" ht="15.6">
      <c r="A21" s="173" t="s">
        <v>215</v>
      </c>
      <c r="B21" s="173"/>
    </row>
    <row r="22" spans="1:26" ht="15.6">
      <c r="A22" s="173" t="s">
        <v>216</v>
      </c>
      <c r="B22" s="173"/>
    </row>
    <row r="23" spans="1:26">
      <c r="B23" s="157"/>
      <c r="U23" s="84">
        <v>0.03</v>
      </c>
    </row>
    <row r="24" spans="1:26">
      <c r="A24" s="173" t="s">
        <v>217</v>
      </c>
      <c r="B24" s="173"/>
      <c r="U24" s="21">
        <f xml:space="preserve"> 31.158*U23 +1</f>
        <v>1.9347400000000001</v>
      </c>
    </row>
    <row r="25" spans="1:26">
      <c r="B25" s="157"/>
    </row>
    <row r="26" spans="1:26" ht="30">
      <c r="A26" s="173" t="s">
        <v>218</v>
      </c>
      <c r="B26" s="173"/>
    </row>
    <row r="27" spans="1:26">
      <c r="A27" s="175">
        <f>55622/454</f>
        <v>122.51541850220265</v>
      </c>
      <c r="B27" s="175"/>
    </row>
    <row r="28" spans="1:26" ht="28.8">
      <c r="A28" s="173" t="s">
        <v>219</v>
      </c>
      <c r="B28" s="173"/>
    </row>
    <row r="29" spans="1:26">
      <c r="B29" s="157"/>
    </row>
    <row r="30" spans="1:26" ht="29.4">
      <c r="A30" s="172" t="s">
        <v>220</v>
      </c>
      <c r="C30" s="2">
        <f>42.1*122.5*C4/1000/44.6</f>
        <v>58333.125081631755</v>
      </c>
      <c r="D30" t="s">
        <v>252</v>
      </c>
    </row>
    <row r="31" spans="1:26">
      <c r="C31">
        <f>C30/C5</f>
        <v>2.7466367713004476</v>
      </c>
    </row>
    <row r="32" spans="1:26" ht="44.4">
      <c r="A32" s="173" t="s">
        <v>221</v>
      </c>
    </row>
    <row r="33" spans="1:3">
      <c r="C33">
        <f>44/16</f>
        <v>2.75</v>
      </c>
    </row>
    <row r="34" spans="1:3">
      <c r="A34" s="176" t="s">
        <v>222</v>
      </c>
    </row>
    <row r="36" spans="1:3">
      <c r="A36" s="176" t="s">
        <v>223</v>
      </c>
    </row>
    <row r="37" spans="1:3">
      <c r="A37" s="176" t="s">
        <v>224</v>
      </c>
    </row>
    <row r="38" spans="1:3">
      <c r="A38" s="176" t="s">
        <v>225</v>
      </c>
    </row>
    <row r="39" spans="1:3">
      <c r="A39" s="176" t="s">
        <v>226</v>
      </c>
    </row>
    <row r="40" spans="1:3">
      <c r="A40" s="176" t="s">
        <v>227</v>
      </c>
    </row>
    <row r="42" spans="1:3">
      <c r="A42" s="176" t="s">
        <v>228</v>
      </c>
    </row>
    <row r="44" spans="1:3">
      <c r="A44" s="176" t="s">
        <v>229</v>
      </c>
    </row>
    <row r="45" spans="1:3">
      <c r="A45" s="176" t="s">
        <v>230</v>
      </c>
    </row>
    <row r="46" spans="1:3" ht="15.6">
      <c r="A46" s="176" t="s">
        <v>231</v>
      </c>
    </row>
    <row r="47" spans="1:3">
      <c r="A47" s="174">
        <f>1264*16</f>
        <v>20224</v>
      </c>
    </row>
    <row r="48" spans="1:3">
      <c r="A48" s="175">
        <f>A47/454</f>
        <v>44.546255506607928</v>
      </c>
    </row>
    <row r="49" spans="1:20" ht="57.6">
      <c r="A49" s="177" t="s">
        <v>232</v>
      </c>
    </row>
    <row r="51" spans="1:20">
      <c r="A51" s="176" t="s">
        <v>233</v>
      </c>
    </row>
    <row r="52" spans="1:20" ht="15.6">
      <c r="A52" s="176" t="s">
        <v>234</v>
      </c>
    </row>
    <row r="53" spans="1:20">
      <c r="A53" s="174">
        <f>1196*16</f>
        <v>19136</v>
      </c>
    </row>
    <row r="54" spans="1:20">
      <c r="A54" s="178">
        <f>A53/454</f>
        <v>42.14977973568282</v>
      </c>
    </row>
    <row r="55" spans="1:20" ht="60">
      <c r="A55" s="173" t="s">
        <v>235</v>
      </c>
    </row>
    <row r="60" spans="1:20">
      <c r="A60" s="157" t="s">
        <v>236</v>
      </c>
    </row>
    <row r="64" spans="1:20" ht="15.6">
      <c r="L64" t="s">
        <v>237</v>
      </c>
      <c r="S64" s="179" t="e">
        <f>#REF!/5.4</f>
        <v>#REF!</v>
      </c>
      <c r="T64" t="s">
        <v>238</v>
      </c>
    </row>
    <row r="65" spans="10:13">
      <c r="J65" t="s">
        <v>189</v>
      </c>
      <c r="K65">
        <v>56</v>
      </c>
      <c r="L65">
        <v>2.1</v>
      </c>
      <c r="M65" t="e">
        <f>#REF!*12</f>
        <v>#REF!</v>
      </c>
    </row>
    <row r="66" spans="10:13">
      <c r="J66" t="s">
        <v>239</v>
      </c>
      <c r="K66">
        <v>21.6</v>
      </c>
      <c r="L66">
        <v>1.22</v>
      </c>
      <c r="M66" t="e">
        <f>#REF!*12</f>
        <v>#REF!</v>
      </c>
    </row>
    <row r="67" spans="10:13">
      <c r="J67" t="s">
        <v>240</v>
      </c>
      <c r="K67">
        <v>19.3</v>
      </c>
      <c r="L67">
        <v>0</v>
      </c>
    </row>
    <row r="68" spans="10:13">
      <c r="J68" t="s">
        <v>241</v>
      </c>
      <c r="K68">
        <v>1.9</v>
      </c>
      <c r="L68">
        <v>0</v>
      </c>
    </row>
    <row r="69" spans="10:13">
      <c r="J69" t="s">
        <v>242</v>
      </c>
      <c r="K69">
        <v>1.1000000000000001</v>
      </c>
      <c r="L69">
        <v>0</v>
      </c>
    </row>
    <row r="70" spans="10:13">
      <c r="J70" t="s">
        <v>243</v>
      </c>
      <c r="K70">
        <v>0.1</v>
      </c>
      <c r="L70">
        <v>0</v>
      </c>
    </row>
    <row r="71" spans="10:13">
      <c r="K71">
        <f>SUM(K65:K70)</f>
        <v>99.999999999999986</v>
      </c>
      <c r="L71" s="180" t="e">
        <f>SUM(#REF!)</f>
        <v>#REF!</v>
      </c>
      <c r="M71" t="e">
        <f>SUM(M65:M70)</f>
        <v>#REF!</v>
      </c>
    </row>
    <row r="75" spans="10:13">
      <c r="M75" t="s">
        <v>244</v>
      </c>
    </row>
    <row r="76" spans="10:13">
      <c r="M76" t="s">
        <v>245</v>
      </c>
    </row>
    <row r="77" spans="10:13">
      <c r="M77" t="s">
        <v>246</v>
      </c>
    </row>
    <row r="79" spans="10:13">
      <c r="J79" t="s">
        <v>247</v>
      </c>
    </row>
  </sheetData>
  <mergeCells count="4">
    <mergeCell ref="M4:P4"/>
    <mergeCell ref="S4:U4"/>
    <mergeCell ref="M5:N5"/>
    <mergeCell ref="M6:N6"/>
  </mergeCells>
  <hyperlinks>
    <hyperlink ref="A49" r:id="rId1" display="http://www.littleredbook.com/INDEX.HTML"/>
    <hyperlink ref="A8" r:id="rId2"/>
  </hyperlinks>
  <pageMargins left="0.7" right="0.7" top="0.75" bottom="0.75" header="0.3" footer="0.3"/>
  <ignoredErrors>
    <ignoredError sqref="O15:O18 O8:O12" formula="1"/>
  </ignoredError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60"/>
  <sheetViews>
    <sheetView topLeftCell="A82" workbookViewId="0">
      <selection activeCell="O2" sqref="O2:R2"/>
    </sheetView>
  </sheetViews>
  <sheetFormatPr defaultRowHeight="14.4"/>
  <sheetData>
    <row r="2" spans="2:18" ht="15.6">
      <c r="B2" s="325" t="s">
        <v>290</v>
      </c>
      <c r="C2" s="325"/>
      <c r="D2" s="325">
        <v>1455</v>
      </c>
      <c r="O2" s="325" t="s">
        <v>291</v>
      </c>
      <c r="P2" s="325"/>
      <c r="Q2" s="325"/>
      <c r="R2" s="325">
        <v>1102</v>
      </c>
    </row>
    <row r="60" spans="2:6">
      <c r="B60" t="s">
        <v>293</v>
      </c>
      <c r="E60">
        <v>1528</v>
      </c>
      <c r="F60" t="s">
        <v>294</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Workbook Overview</vt:lpstr>
      <vt:lpstr>Revenue Neutral Plan</vt:lpstr>
      <vt:lpstr>Externalities</vt:lpstr>
      <vt:lpstr>ExampleGasElectricBill</vt:lpstr>
      <vt:lpstr>Water To Be Saved</vt:lpstr>
      <vt:lpstr>ConversionFactors</vt:lpstr>
      <vt:lpstr>Colorado_Price_of_Natural_Gas</vt:lpstr>
      <vt:lpstr>MethaneLeakage</vt:lpstr>
      <vt:lpstr>PVWATTS</vt:lpstr>
      <vt:lpstr>AnnualUtilityBill2015</vt:lpstr>
      <vt:lpstr>'Revenue Neutral Plan'!Print_Area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Milt Hetrick</dc:creator>
  <cp:lastModifiedBy>MILT HETRICK</cp:lastModifiedBy>
  <cp:lastPrinted>2016-05-24T17:44:55Z</cp:lastPrinted>
  <dcterms:created xsi:type="dcterms:W3CDTF">2015-06-30T11:32:02Z</dcterms:created>
  <dcterms:modified xsi:type="dcterms:W3CDTF">2019-05-13T18:34:32Z</dcterms:modified>
</cp:coreProperties>
</file>